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項目別総括表\"/>
    </mc:Choice>
  </mc:AlternateContent>
  <xr:revisionPtr revIDLastSave="0" documentId="13_ncr:1_{6DA744F9-D7F7-41B8-8459-5772C98D7EC7}" xr6:coauthVersionLast="47" xr6:coauthVersionMax="47" xr10:uidLastSave="{00000000-0000-0000-0000-000000000000}"/>
  <bookViews>
    <workbookView xWindow="-120" yWindow="-120" windowWidth="29040" windowHeight="15720" activeTab="1" xr2:uid="{3BAB72BC-07B9-4355-9AF7-4D47BA4D61CC}"/>
  </bookViews>
  <sheets>
    <sheet name="目次" sheetId="1" r:id="rId1"/>
    <sheet name="8-1" sheetId="19" r:id="rId2"/>
    <sheet name="8-2" sheetId="18" r:id="rId3"/>
    <sheet name="8-3" sheetId="17" r:id="rId4"/>
    <sheet name="8-4" sheetId="16" r:id="rId5"/>
    <sheet name="8-5-1" sheetId="15" r:id="rId6"/>
    <sheet name="8-5-2" sheetId="14" r:id="rId7"/>
  </sheets>
  <definedNames>
    <definedName name="_xlnm.Print_Area" localSheetId="0">目次!$B$1:$F$10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" i="17" l="1"/>
  <c r="J19" i="18"/>
  <c r="J13" i="18"/>
  <c r="E22" i="17"/>
  <c r="E23" i="17"/>
  <c r="E24" i="17"/>
  <c r="C24" i="17"/>
  <c r="C23" i="17"/>
  <c r="C22" i="17"/>
  <c r="C8" i="16"/>
  <c r="E26" i="15"/>
  <c r="E25" i="15"/>
  <c r="E24" i="15"/>
  <c r="E23" i="15"/>
  <c r="E22" i="15"/>
  <c r="E17" i="15"/>
  <c r="E16" i="15"/>
  <c r="E18" i="15" s="1"/>
  <c r="E12" i="15"/>
  <c r="E13" i="15" s="1"/>
  <c r="E7" i="15"/>
  <c r="E8" i="15" s="1"/>
  <c r="AD18" i="17"/>
  <c r="Z18" i="17"/>
  <c r="V18" i="17"/>
  <c r="S18" i="17"/>
  <c r="H18" i="17" s="1"/>
  <c r="O18" i="17"/>
  <c r="K18" i="17"/>
  <c r="E18" i="17"/>
  <c r="AQ18" i="17" s="1"/>
  <c r="C18" i="17"/>
  <c r="AO18" i="17" s="1"/>
  <c r="AQ17" i="17"/>
  <c r="AO17" i="17"/>
  <c r="AG17" i="17"/>
  <c r="AD17" i="17"/>
  <c r="S17" i="17"/>
  <c r="O17" i="17"/>
  <c r="K17" i="17"/>
  <c r="H17" i="17"/>
  <c r="B17" i="17"/>
  <c r="AO16" i="17"/>
  <c r="AM16" i="17"/>
  <c r="AD16" i="17"/>
  <c r="S16" i="17"/>
  <c r="S15" i="17" s="1"/>
  <c r="O16" i="17"/>
  <c r="AQ16" i="17" s="1"/>
  <c r="K16" i="17"/>
  <c r="H16" i="17"/>
  <c r="B16" i="17"/>
  <c r="AQ15" i="17"/>
  <c r="AK15" i="17"/>
  <c r="AM15" i="17" s="1"/>
  <c r="AG15" i="17"/>
  <c r="AD15" i="17"/>
  <c r="AI16" i="17" s="1"/>
  <c r="Z15" i="17"/>
  <c r="V15" i="17"/>
  <c r="O15" i="17"/>
  <c r="K15" i="17"/>
  <c r="K14" i="17" s="1"/>
  <c r="E15" i="17"/>
  <c r="C15" i="17"/>
  <c r="AO15" i="17" s="1"/>
  <c r="AK14" i="17"/>
  <c r="AG14" i="17"/>
  <c r="Z14" i="17"/>
  <c r="O14" i="17"/>
  <c r="AK12" i="17"/>
  <c r="AG12" i="17"/>
  <c r="AD12" i="17" s="1"/>
  <c r="Z12" i="17"/>
  <c r="V12" i="17"/>
  <c r="S12" i="17" s="1"/>
  <c r="H12" i="17" s="1"/>
  <c r="O12" i="17"/>
  <c r="AQ12" i="17" s="1"/>
  <c r="E12" i="17"/>
  <c r="C12" i="17"/>
  <c r="B12" i="17" s="1"/>
  <c r="AK11" i="17"/>
  <c r="AK9" i="17" s="1"/>
  <c r="AG11" i="17"/>
  <c r="AD11" i="17" s="1"/>
  <c r="Z11" i="17"/>
  <c r="O11" i="17" s="1"/>
  <c r="V11" i="17"/>
  <c r="S11" i="17"/>
  <c r="K11" i="17"/>
  <c r="E11" i="17"/>
  <c r="C11" i="17"/>
  <c r="B11" i="17" s="1"/>
  <c r="AK10" i="17"/>
  <c r="O10" i="17" s="1"/>
  <c r="AG10" i="17"/>
  <c r="Z10" i="17"/>
  <c r="V10" i="17"/>
  <c r="S10" i="17" s="1"/>
  <c r="E10" i="17"/>
  <c r="E9" i="17" s="1"/>
  <c r="C10" i="17"/>
  <c r="B10" i="17" s="1"/>
  <c r="B9" i="17" s="1"/>
  <c r="AG9" i="17"/>
  <c r="I10" i="18"/>
  <c r="I9" i="18"/>
  <c r="I8" i="18"/>
  <c r="F7" i="18"/>
  <c r="F9" i="18"/>
  <c r="F10" i="18"/>
  <c r="F8" i="18"/>
  <c r="F19" i="18"/>
  <c r="F13" i="18"/>
  <c r="C19" i="18"/>
  <c r="C13" i="18"/>
  <c r="C7" i="18"/>
  <c r="E12" i="19"/>
  <c r="F12" i="19" s="1"/>
  <c r="B22" i="17" l="1"/>
  <c r="E28" i="15"/>
  <c r="AN18" i="17"/>
  <c r="AR18" i="17"/>
  <c r="M18" i="17"/>
  <c r="AN16" i="17"/>
  <c r="Q17" i="17"/>
  <c r="X17" i="17"/>
  <c r="H15" i="17"/>
  <c r="X18" i="17"/>
  <c r="X15" i="17"/>
  <c r="AB15" i="17"/>
  <c r="AB16" i="17"/>
  <c r="X16" i="17"/>
  <c r="AB18" i="17"/>
  <c r="AB17" i="17"/>
  <c r="AN15" i="17"/>
  <c r="AP16" i="17" s="1"/>
  <c r="AP15" i="17"/>
  <c r="AR15" i="17"/>
  <c r="M15" i="17"/>
  <c r="Q16" i="17"/>
  <c r="B18" i="17"/>
  <c r="B15" i="17" s="1"/>
  <c r="AI18" i="17"/>
  <c r="AI15" i="17"/>
  <c r="AM18" i="17"/>
  <c r="AM17" i="17"/>
  <c r="AI17" i="17"/>
  <c r="V14" i="17"/>
  <c r="AN17" i="17"/>
  <c r="AM12" i="17"/>
  <c r="AI9" i="17"/>
  <c r="AM9" i="17"/>
  <c r="AK8" i="17"/>
  <c r="D10" i="17"/>
  <c r="D11" i="17"/>
  <c r="F12" i="17"/>
  <c r="F11" i="17"/>
  <c r="F9" i="17"/>
  <c r="H11" i="17"/>
  <c r="S9" i="17"/>
  <c r="AB12" i="17"/>
  <c r="AQ11" i="17"/>
  <c r="Z9" i="17"/>
  <c r="F10" i="17"/>
  <c r="X10" i="17"/>
  <c r="D12" i="17"/>
  <c r="K10" i="17"/>
  <c r="AO10" i="17" s="1"/>
  <c r="AO11" i="17"/>
  <c r="AD10" i="17"/>
  <c r="AD9" i="17" s="1"/>
  <c r="AM11" i="17" s="1"/>
  <c r="AQ10" i="17"/>
  <c r="AB11" i="17"/>
  <c r="C9" i="17"/>
  <c r="AG8" i="17" s="1"/>
  <c r="K12" i="17"/>
  <c r="V9" i="17"/>
  <c r="G12" i="19"/>
  <c r="E31" i="15" l="1"/>
  <c r="E32" i="15" s="1"/>
  <c r="E29" i="15"/>
  <c r="D17" i="17"/>
  <c r="F18" i="17"/>
  <c r="F15" i="17"/>
  <c r="F17" i="17"/>
  <c r="F16" i="17"/>
  <c r="D16" i="17"/>
  <c r="D18" i="17"/>
  <c r="S14" i="17"/>
  <c r="AD14" i="17"/>
  <c r="D15" i="17"/>
  <c r="AP18" i="17"/>
  <c r="AP17" i="17"/>
  <c r="AR16" i="17"/>
  <c r="AR17" i="17"/>
  <c r="M16" i="17"/>
  <c r="Q18" i="17"/>
  <c r="H14" i="17"/>
  <c r="M17" i="17"/>
  <c r="Q15" i="17"/>
  <c r="AN10" i="17"/>
  <c r="AN11" i="17"/>
  <c r="V8" i="17"/>
  <c r="X9" i="17"/>
  <c r="K9" i="17"/>
  <c r="AO9" i="17" s="1"/>
  <c r="H10" i="17"/>
  <c r="S8" i="17"/>
  <c r="X12" i="17"/>
  <c r="AB10" i="17"/>
  <c r="X11" i="17"/>
  <c r="H9" i="17"/>
  <c r="Z8" i="17"/>
  <c r="O9" i="17"/>
  <c r="AB9" i="17"/>
  <c r="D9" i="17"/>
  <c r="AO12" i="17"/>
  <c r="AI11" i="17"/>
  <c r="AM10" i="17"/>
  <c r="AI10" i="17"/>
  <c r="AI12" i="17"/>
  <c r="AD8" i="17"/>
  <c r="E17" i="19"/>
  <c r="I36" i="14"/>
  <c r="P19" i="14"/>
  <c r="P26" i="14"/>
  <c r="Q26" i="14" s="1"/>
  <c r="P25" i="14"/>
  <c r="P23" i="14"/>
  <c r="P22" i="14"/>
  <c r="Q23" i="14"/>
  <c r="P20" i="14"/>
  <c r="G26" i="15"/>
  <c r="G18" i="15"/>
  <c r="G13" i="15"/>
  <c r="G7" i="15"/>
  <c r="G8" i="15"/>
  <c r="AD24" i="17"/>
  <c r="O22" i="17"/>
  <c r="AQ22" i="17" s="1"/>
  <c r="O23" i="17"/>
  <c r="AQ23" i="17" s="1"/>
  <c r="O24" i="17"/>
  <c r="AQ24" i="17" s="1"/>
  <c r="S22" i="17"/>
  <c r="B24" i="17"/>
  <c r="K24" i="17"/>
  <c r="AO24" i="17" s="1"/>
  <c r="AD23" i="17"/>
  <c r="K23" i="17"/>
  <c r="AO23" i="17" s="1"/>
  <c r="B23" i="17"/>
  <c r="I19" i="18"/>
  <c r="I13" i="18"/>
  <c r="I7" i="18"/>
  <c r="J15" i="18" s="1"/>
  <c r="G15" i="19"/>
  <c r="G20" i="19"/>
  <c r="G19" i="19"/>
  <c r="G18" i="19"/>
  <c r="O53" i="14"/>
  <c r="O54" i="14" s="1"/>
  <c r="N53" i="14"/>
  <c r="N54" i="14" s="1"/>
  <c r="M53" i="14"/>
  <c r="M54" i="14" s="1"/>
  <c r="L53" i="14"/>
  <c r="L54" i="14" s="1"/>
  <c r="K53" i="14"/>
  <c r="K54" i="14" s="1"/>
  <c r="J53" i="14"/>
  <c r="J54" i="14" s="1"/>
  <c r="I53" i="14"/>
  <c r="I54" i="14" s="1"/>
  <c r="H53" i="14"/>
  <c r="H54" i="14" s="1"/>
  <c r="G53" i="14"/>
  <c r="G54" i="14" s="1"/>
  <c r="F53" i="14"/>
  <c r="F54" i="14" s="1"/>
  <c r="E53" i="14"/>
  <c r="E54" i="14" s="1"/>
  <c r="D53" i="14"/>
  <c r="D54" i="14" s="1"/>
  <c r="P51" i="14"/>
  <c r="Q51" i="14" s="1"/>
  <c r="P49" i="14"/>
  <c r="Q49" i="14" s="1"/>
  <c r="S49" i="14" s="1"/>
  <c r="P47" i="14"/>
  <c r="P46" i="14"/>
  <c r="P45" i="14"/>
  <c r="P43" i="14"/>
  <c r="P42" i="14"/>
  <c r="P41" i="14"/>
  <c r="P40" i="14"/>
  <c r="P39" i="14"/>
  <c r="P38" i="14"/>
  <c r="O35" i="14"/>
  <c r="O36" i="14" s="1"/>
  <c r="N35" i="14"/>
  <c r="N36" i="14" s="1"/>
  <c r="M35" i="14"/>
  <c r="M36" i="14" s="1"/>
  <c r="L35" i="14"/>
  <c r="L36" i="14" s="1"/>
  <c r="K35" i="14"/>
  <c r="K36" i="14" s="1"/>
  <c r="J35" i="14"/>
  <c r="J36" i="14" s="1"/>
  <c r="I35" i="14"/>
  <c r="H35" i="14"/>
  <c r="H36" i="14" s="1"/>
  <c r="G35" i="14"/>
  <c r="G36" i="14" s="1"/>
  <c r="F35" i="14"/>
  <c r="F36" i="14" s="1"/>
  <c r="E35" i="14"/>
  <c r="E36" i="14" s="1"/>
  <c r="D35" i="14"/>
  <c r="D36" i="14" s="1"/>
  <c r="P33" i="14"/>
  <c r="P32" i="14"/>
  <c r="P31" i="14"/>
  <c r="O28" i="14"/>
  <c r="N28" i="14"/>
  <c r="N29" i="14" s="1"/>
  <c r="M28" i="14"/>
  <c r="M29" i="14" s="1"/>
  <c r="L28" i="14"/>
  <c r="L29" i="14" s="1"/>
  <c r="K28" i="14"/>
  <c r="J28" i="14"/>
  <c r="I28" i="14"/>
  <c r="I29" i="14" s="1"/>
  <c r="H28" i="14"/>
  <c r="H29" i="14" s="1"/>
  <c r="G28" i="14"/>
  <c r="G29" i="14" s="1"/>
  <c r="F28" i="14"/>
  <c r="E28" i="14"/>
  <c r="D28" i="14"/>
  <c r="D29" i="14" s="1"/>
  <c r="P17" i="14"/>
  <c r="P16" i="14"/>
  <c r="P9" i="14"/>
  <c r="P8" i="14"/>
  <c r="D40" i="16"/>
  <c r="E40" i="16" s="1"/>
  <c r="D39" i="16"/>
  <c r="E39" i="16" s="1"/>
  <c r="D38" i="16"/>
  <c r="F37" i="16"/>
  <c r="C37" i="16"/>
  <c r="D35" i="16"/>
  <c r="E35" i="16" s="1"/>
  <c r="D34" i="16"/>
  <c r="E34" i="16" s="1"/>
  <c r="D33" i="16"/>
  <c r="E33" i="16" s="1"/>
  <c r="F32" i="16"/>
  <c r="C32" i="16"/>
  <c r="D30" i="16"/>
  <c r="E30" i="16" s="1"/>
  <c r="D29" i="16"/>
  <c r="E29" i="16" s="1"/>
  <c r="D28" i="16"/>
  <c r="F27" i="16"/>
  <c r="C27" i="16"/>
  <c r="D25" i="16"/>
  <c r="E25" i="16" s="1"/>
  <c r="D24" i="16"/>
  <c r="E24" i="16" s="1"/>
  <c r="D23" i="16"/>
  <c r="F22" i="16"/>
  <c r="C22" i="16"/>
  <c r="D20" i="16"/>
  <c r="E20" i="16" s="1"/>
  <c r="D19" i="16"/>
  <c r="E19" i="16" s="1"/>
  <c r="D18" i="16"/>
  <c r="E18" i="16" s="1"/>
  <c r="F17" i="16"/>
  <c r="C17" i="16"/>
  <c r="L15" i="16"/>
  <c r="M15" i="16" s="1"/>
  <c r="D15" i="16"/>
  <c r="E15" i="16" s="1"/>
  <c r="L14" i="16"/>
  <c r="M14" i="16" s="1"/>
  <c r="D14" i="16"/>
  <c r="L13" i="16"/>
  <c r="D13" i="16"/>
  <c r="E13" i="16" s="1"/>
  <c r="N12" i="16"/>
  <c r="K12" i="16"/>
  <c r="F12" i="16"/>
  <c r="C12" i="16"/>
  <c r="C7" i="16" s="1"/>
  <c r="L10" i="16"/>
  <c r="M10" i="16" s="1"/>
  <c r="F10" i="16"/>
  <c r="C10" i="16"/>
  <c r="L9" i="16"/>
  <c r="M9" i="16" s="1"/>
  <c r="F9" i="16"/>
  <c r="C9" i="16"/>
  <c r="L8" i="16"/>
  <c r="M8" i="16" s="1"/>
  <c r="F8" i="16"/>
  <c r="N7" i="16"/>
  <c r="K7" i="16"/>
  <c r="M13" i="16"/>
  <c r="G19" i="18"/>
  <c r="D9" i="18"/>
  <c r="G16" i="18"/>
  <c r="D15" i="18"/>
  <c r="D10" i="18"/>
  <c r="D20" i="18"/>
  <c r="G14" i="19"/>
  <c r="G13" i="19"/>
  <c r="E21" i="17"/>
  <c r="AK21" i="17"/>
  <c r="S23" i="17"/>
  <c r="Z21" i="17"/>
  <c r="S24" i="17"/>
  <c r="K22" i="17"/>
  <c r="AO22" i="17" s="1"/>
  <c r="AG21" i="17"/>
  <c r="AD22" i="17"/>
  <c r="C21" i="17"/>
  <c r="V21" i="17"/>
  <c r="G8" i="18"/>
  <c r="D13" i="18"/>
  <c r="D8" i="18"/>
  <c r="D21" i="18"/>
  <c r="G13" i="18"/>
  <c r="D16" i="18"/>
  <c r="D19" i="18"/>
  <c r="D14" i="18"/>
  <c r="G21" i="18"/>
  <c r="G20" i="18"/>
  <c r="G15" i="18"/>
  <c r="G9" i="18"/>
  <c r="G10" i="18"/>
  <c r="G14" i="18"/>
  <c r="B21" i="17" l="1"/>
  <c r="D12" i="16"/>
  <c r="E12" i="16" s="1"/>
  <c r="J14" i="18"/>
  <c r="J9" i="18"/>
  <c r="J21" i="18"/>
  <c r="J10" i="18"/>
  <c r="J8" i="18"/>
  <c r="J16" i="18"/>
  <c r="J20" i="18"/>
  <c r="F17" i="19"/>
  <c r="G17" i="19"/>
  <c r="AN22" i="17"/>
  <c r="AN9" i="17"/>
  <c r="H8" i="17"/>
  <c r="Q12" i="17"/>
  <c r="M11" i="17"/>
  <c r="Q11" i="17"/>
  <c r="Q10" i="17"/>
  <c r="K8" i="17"/>
  <c r="M9" i="17"/>
  <c r="AN12" i="17"/>
  <c r="M10" i="17"/>
  <c r="Q9" i="17"/>
  <c r="O8" i="17"/>
  <c r="AQ9" i="17"/>
  <c r="M12" i="17"/>
  <c r="Q47" i="14"/>
  <c r="S47" i="14" s="1"/>
  <c r="P53" i="14"/>
  <c r="P54" i="14" s="1"/>
  <c r="F56" i="14"/>
  <c r="F58" i="14" s="1"/>
  <c r="Q43" i="14"/>
  <c r="Q33" i="14"/>
  <c r="S33" i="14" s="1"/>
  <c r="O56" i="14"/>
  <c r="O58" i="14" s="1"/>
  <c r="E56" i="14"/>
  <c r="E58" i="14" s="1"/>
  <c r="P35" i="14"/>
  <c r="P36" i="14" s="1"/>
  <c r="Q35" i="14"/>
  <c r="J56" i="14"/>
  <c r="J58" i="14" s="1"/>
  <c r="K56" i="14"/>
  <c r="K58" i="14" s="1"/>
  <c r="Q20" i="14"/>
  <c r="S20" i="14" s="1"/>
  <c r="G56" i="14"/>
  <c r="G58" i="14" s="1"/>
  <c r="I56" i="14"/>
  <c r="I58" i="14" s="1"/>
  <c r="O29" i="14"/>
  <c r="N56" i="14"/>
  <c r="N58" i="14" s="1"/>
  <c r="M56" i="14"/>
  <c r="M58" i="14" s="1"/>
  <c r="L56" i="14"/>
  <c r="L58" i="14" s="1"/>
  <c r="K29" i="14"/>
  <c r="H56" i="14"/>
  <c r="H58" i="14" s="1"/>
  <c r="Q17" i="14"/>
  <c r="F29" i="14"/>
  <c r="J29" i="14"/>
  <c r="P28" i="14"/>
  <c r="P29" i="14" s="1"/>
  <c r="E29" i="14"/>
  <c r="D56" i="14"/>
  <c r="D58" i="14" s="1"/>
  <c r="G28" i="15"/>
  <c r="G31" i="15" s="1"/>
  <c r="G32" i="15" s="1"/>
  <c r="D37" i="16"/>
  <c r="E37" i="16" s="1"/>
  <c r="D22" i="16"/>
  <c r="E22" i="16" s="1"/>
  <c r="E23" i="16"/>
  <c r="F7" i="16"/>
  <c r="D17" i="16"/>
  <c r="E17" i="16" s="1"/>
  <c r="L12" i="16"/>
  <c r="M12" i="16" s="1"/>
  <c r="D9" i="16"/>
  <c r="E9" i="16" s="1"/>
  <c r="L7" i="16"/>
  <c r="M7" i="16" s="1"/>
  <c r="E38" i="16"/>
  <c r="D32" i="16"/>
  <c r="E32" i="16" s="1"/>
  <c r="D10" i="16"/>
  <c r="E10" i="16" s="1"/>
  <c r="D27" i="16"/>
  <c r="E27" i="16" s="1"/>
  <c r="E28" i="16"/>
  <c r="D8" i="16"/>
  <c r="E8" i="16" s="1"/>
  <c r="E14" i="16"/>
  <c r="O21" i="17"/>
  <c r="O20" i="17" s="1"/>
  <c r="H22" i="17"/>
  <c r="AD21" i="17"/>
  <c r="AM23" i="17" s="1"/>
  <c r="H24" i="17"/>
  <c r="H23" i="17"/>
  <c r="K21" i="17"/>
  <c r="AO21" i="17" s="1"/>
  <c r="AN24" i="17"/>
  <c r="AB21" i="17"/>
  <c r="AN23" i="17"/>
  <c r="AK20" i="17"/>
  <c r="Z20" i="17"/>
  <c r="AG20" i="17"/>
  <c r="V20" i="17"/>
  <c r="Q28" i="14" l="1"/>
  <c r="Q29" i="14" s="1"/>
  <c r="AQ21" i="17"/>
  <c r="AN21" i="17" s="1"/>
  <c r="AR12" i="17"/>
  <c r="AP10" i="17"/>
  <c r="AR11" i="17"/>
  <c r="AP11" i="17"/>
  <c r="AR10" i="17"/>
  <c r="AP9" i="17"/>
  <c r="AR9" i="17"/>
  <c r="AP12" i="17"/>
  <c r="S43" i="14"/>
  <c r="Q53" i="14"/>
  <c r="S35" i="14"/>
  <c r="Q36" i="14"/>
  <c r="S17" i="14"/>
  <c r="P56" i="14"/>
  <c r="P58" i="14" s="1"/>
  <c r="G29" i="15"/>
  <c r="D7" i="16"/>
  <c r="E7" i="16" s="1"/>
  <c r="AM21" i="17"/>
  <c r="AI21" i="17"/>
  <c r="AM22" i="17"/>
  <c r="AD20" i="17"/>
  <c r="AI24" i="17"/>
  <c r="AI23" i="17"/>
  <c r="AM24" i="17"/>
  <c r="AI22" i="17"/>
  <c r="K20" i="17"/>
  <c r="X21" i="17"/>
  <c r="AB24" i="17"/>
  <c r="X22" i="17"/>
  <c r="AB22" i="17"/>
  <c r="AB23" i="17"/>
  <c r="H21" i="17"/>
  <c r="M21" i="17" s="1"/>
  <c r="X23" i="17"/>
  <c r="X24" i="17"/>
  <c r="S20" i="17"/>
  <c r="D23" i="17"/>
  <c r="F23" i="17"/>
  <c r="D24" i="17"/>
  <c r="F22" i="17"/>
  <c r="D22" i="17"/>
  <c r="D21" i="17"/>
  <c r="F21" i="17"/>
  <c r="F24" i="17"/>
  <c r="S28" i="14" l="1"/>
  <c r="Q56" i="14"/>
  <c r="R28" i="14" s="1"/>
  <c r="S53" i="14"/>
  <c r="Q54" i="14"/>
  <c r="Q24" i="17"/>
  <c r="Q23" i="17"/>
  <c r="M24" i="17"/>
  <c r="Q22" i="17"/>
  <c r="H20" i="17"/>
  <c r="M22" i="17"/>
  <c r="Q21" i="17"/>
  <c r="M23" i="17"/>
  <c r="AP23" i="17"/>
  <c r="AR21" i="17"/>
  <c r="AP24" i="17"/>
  <c r="AR23" i="17"/>
  <c r="AR22" i="17"/>
  <c r="AR24" i="17"/>
  <c r="AP22" i="17"/>
  <c r="AP21" i="17"/>
  <c r="R17" i="14" l="1"/>
  <c r="R56" i="14"/>
  <c r="R47" i="14"/>
  <c r="R26" i="14"/>
  <c r="Q58" i="14"/>
  <c r="R35" i="14"/>
  <c r="R20" i="14"/>
  <c r="R43" i="14"/>
  <c r="R49" i="14"/>
  <c r="S56" i="14"/>
  <c r="R53" i="14"/>
  <c r="R33" i="14"/>
  <c r="R23" i="14"/>
  <c r="R51" i="14"/>
</calcChain>
</file>

<file path=xl/sharedStrings.xml><?xml version="1.0" encoding="utf-8"?>
<sst xmlns="http://schemas.openxmlformats.org/spreadsheetml/2006/main" count="423" uniqueCount="153">
  <si>
    <t>&lt;表番号&gt;</t>
    <rPh sb="1" eb="2">
      <t>ヒョウ</t>
    </rPh>
    <rPh sb="2" eb="4">
      <t>バンゴウ</t>
    </rPh>
    <phoneticPr fontId="2"/>
  </si>
  <si>
    <t>&lt;　表　題　&gt;</t>
    <rPh sb="2" eb="3">
      <t>オモテ</t>
    </rPh>
    <rPh sb="4" eb="5">
      <t>ダイ</t>
    </rPh>
    <phoneticPr fontId="2"/>
  </si>
  <si>
    <t>&lt;担当所属&gt;</t>
    <rPh sb="1" eb="3">
      <t>タントウ</t>
    </rPh>
    <rPh sb="3" eb="5">
      <t>ショゾク</t>
    </rPh>
    <phoneticPr fontId="2"/>
  </si>
  <si>
    <t xml:space="preserve">献血実績、年度別       </t>
  </si>
  <si>
    <t xml:space="preserve">献血者数、年度・受入施設別      </t>
  </si>
  <si>
    <t xml:space="preserve">献血申込者・不適格者の状況、年度別       </t>
  </si>
  <si>
    <t xml:space="preserve">献血実施状況、保健所別        </t>
  </si>
  <si>
    <t xml:space="preserve">血液製剤供給状況、年度別       </t>
  </si>
  <si>
    <t xml:space="preserve">血液製剤供給状況、月・品目別           </t>
  </si>
  <si>
    <t xml:space="preserve"> 目標（人）</t>
    <rPh sb="1" eb="3">
      <t>モクヒョウ</t>
    </rPh>
    <rPh sb="4" eb="5">
      <t>ニン</t>
    </rPh>
    <phoneticPr fontId="11"/>
  </si>
  <si>
    <t>成 分</t>
  </si>
  <si>
    <t>比 率</t>
  </si>
  <si>
    <t xml:space="preserve"> 総         数</t>
  </si>
  <si>
    <t xml:space="preserve"> 献血ルーム</t>
    <rPh sb="1" eb="3">
      <t>ケンケツ</t>
    </rPh>
    <phoneticPr fontId="11"/>
  </si>
  <si>
    <t xml:space="preserve"> (出張所を含む)</t>
  </si>
  <si>
    <t xml:space="preserve"> 献  血  バ  ス</t>
  </si>
  <si>
    <t>総            数</t>
  </si>
  <si>
    <t>)</t>
  </si>
  <si>
    <t xml:space="preserve"> 注：（　）は申込者数に対する割合</t>
  </si>
  <si>
    <t>採 血</t>
  </si>
  <si>
    <t>不 適 数</t>
  </si>
  <si>
    <t>割合</t>
  </si>
  <si>
    <t>区 分</t>
  </si>
  <si>
    <t xml:space="preserve"> 新  潟  県</t>
  </si>
  <si>
    <t xml:space="preserve"> 新  潟  市</t>
  </si>
  <si>
    <t xml:space="preserve"> 南　魚　沼</t>
    <rPh sb="1" eb="2">
      <t>ミナミ</t>
    </rPh>
    <rPh sb="3" eb="4">
      <t>ウオ</t>
    </rPh>
    <rPh sb="5" eb="6">
      <t>ヌマ</t>
    </rPh>
    <phoneticPr fontId="14"/>
  </si>
  <si>
    <t xml:space="preserve"> 新  発  田</t>
  </si>
  <si>
    <t xml:space="preserve"> 新      津</t>
  </si>
  <si>
    <t xml:space="preserve"> 上      越</t>
  </si>
  <si>
    <t xml:space="preserve"> 三      条</t>
  </si>
  <si>
    <t xml:space="preserve"> 長      岡</t>
  </si>
  <si>
    <t xml:space="preserve"> 佐　　　渡</t>
    <rPh sb="1" eb="2">
      <t>タスク</t>
    </rPh>
    <rPh sb="5" eb="6">
      <t>ワタリ</t>
    </rPh>
    <phoneticPr fontId="11"/>
  </si>
  <si>
    <t xml:space="preserve">         計</t>
  </si>
  <si>
    <t xml:space="preserve">   対前年度比 (％)</t>
  </si>
  <si>
    <t xml:space="preserve">  赤 血 球 製 剤</t>
  </si>
  <si>
    <t>　　　 小　計</t>
  </si>
  <si>
    <t xml:space="preserve">   血 漿 製 剤</t>
  </si>
  <si>
    <t xml:space="preserve"> 5単位</t>
  </si>
  <si>
    <t>　　   小　計</t>
  </si>
  <si>
    <t xml:space="preserve">  血 小 板 製 剤</t>
  </si>
  <si>
    <t xml:space="preserve"> 1単位</t>
    <rPh sb="2" eb="4">
      <t>タンイ</t>
    </rPh>
    <phoneticPr fontId="11"/>
  </si>
  <si>
    <t xml:space="preserve"> 2単位</t>
    <rPh sb="2" eb="4">
      <t>タンイ</t>
    </rPh>
    <phoneticPr fontId="11"/>
  </si>
  <si>
    <t>10単位</t>
  </si>
  <si>
    <t>15単位</t>
  </si>
  <si>
    <t>20単位</t>
  </si>
  <si>
    <t xml:space="preserve">    6</t>
  </si>
  <si>
    <t xml:space="preserve">    7</t>
  </si>
  <si>
    <t xml:space="preserve">    8</t>
  </si>
  <si>
    <t xml:space="preserve">    9</t>
  </si>
  <si>
    <t xml:space="preserve">   10</t>
  </si>
  <si>
    <t xml:space="preserve">   11</t>
  </si>
  <si>
    <t xml:space="preserve">   12</t>
  </si>
  <si>
    <t xml:space="preserve">    2</t>
  </si>
  <si>
    <t xml:space="preserve">    3</t>
  </si>
  <si>
    <t xml:space="preserve">    ( 全  血  製  剤 )</t>
  </si>
  <si>
    <t xml:space="preserve"> 人   全   血   液</t>
  </si>
  <si>
    <t xml:space="preserve">          小　　計</t>
    <rPh sb="10" eb="11">
      <t>ショウ</t>
    </rPh>
    <phoneticPr fontId="11"/>
  </si>
  <si>
    <t xml:space="preserve"> 前  年  同  月  比  (％)</t>
  </si>
  <si>
    <t xml:space="preserve">   （ 成  分  製  剤 ）</t>
  </si>
  <si>
    <t xml:space="preserve"> 洗浄赤血球･洗浄赤血球LR</t>
    <rPh sb="7" eb="9">
      <t>センジョウ</t>
    </rPh>
    <rPh sb="9" eb="12">
      <t>セッケッキュウ</t>
    </rPh>
    <phoneticPr fontId="11"/>
  </si>
  <si>
    <t xml:space="preserve">       小     計</t>
  </si>
  <si>
    <t xml:space="preserve"> 前  年  同  月  比  (％）</t>
  </si>
  <si>
    <t xml:space="preserve"> 新 鮮 凍 結 血 漿</t>
  </si>
  <si>
    <t xml:space="preserve">            成  分</t>
  </si>
  <si>
    <t xml:space="preserve">  5単位</t>
  </si>
  <si>
    <t>　1単位</t>
    <rPh sb="2" eb="4">
      <t>タンイ</t>
    </rPh>
    <phoneticPr fontId="11"/>
  </si>
  <si>
    <t>　2単位</t>
    <rPh sb="2" eb="4">
      <t>タンイ</t>
    </rPh>
    <phoneticPr fontId="11"/>
  </si>
  <si>
    <t xml:space="preserve"> 10単位</t>
  </si>
  <si>
    <t xml:space="preserve"> 15単位</t>
  </si>
  <si>
    <t xml:space="preserve"> 20単位</t>
  </si>
  <si>
    <t xml:space="preserve"> 合                    計</t>
  </si>
  <si>
    <t>年     度</t>
    <phoneticPr fontId="11"/>
  </si>
  <si>
    <t>比(％)</t>
    <phoneticPr fontId="11"/>
  </si>
  <si>
    <t>総  数</t>
    <phoneticPr fontId="11"/>
  </si>
  <si>
    <t>男</t>
    <phoneticPr fontId="11"/>
  </si>
  <si>
    <t>女</t>
    <phoneticPr fontId="11"/>
  </si>
  <si>
    <t>人  数</t>
    <phoneticPr fontId="11"/>
  </si>
  <si>
    <t>％</t>
    <phoneticPr fontId="11"/>
  </si>
  <si>
    <t>申 込 数</t>
    <phoneticPr fontId="11"/>
  </si>
  <si>
    <t>献 血 数</t>
    <phoneticPr fontId="11"/>
  </si>
  <si>
    <t xml:space="preserve"> </t>
    <phoneticPr fontId="14"/>
  </si>
  <si>
    <t xml:space="preserve"> 全  血  製  剤</t>
    <phoneticPr fontId="14"/>
  </si>
  <si>
    <t>人    数</t>
    <phoneticPr fontId="11"/>
  </si>
  <si>
    <t xml:space="preserve"> 赤血球液LR</t>
    <rPh sb="1" eb="2">
      <t>アカ</t>
    </rPh>
    <rPh sb="2" eb="4">
      <t>ケッキュウ</t>
    </rPh>
    <rPh sb="4" eb="5">
      <t>エキ</t>
    </rPh>
    <phoneticPr fontId="11"/>
  </si>
  <si>
    <t xml:space="preserve"> 合     成     血　　 液</t>
    <rPh sb="17" eb="18">
      <t>エキ</t>
    </rPh>
    <phoneticPr fontId="14"/>
  </si>
  <si>
    <t xml:space="preserve"> 濃 厚 血 小 板 成 分</t>
    <rPh sb="11" eb="12">
      <t>シゲル</t>
    </rPh>
    <rPh sb="13" eb="14">
      <t>ブン</t>
    </rPh>
    <phoneticPr fontId="14"/>
  </si>
  <si>
    <t xml:space="preserve"> 濃厚血小板ＨＬＡ成分</t>
    <rPh sb="1" eb="3">
      <t>ノウコウ</t>
    </rPh>
    <rPh sb="3" eb="6">
      <t>ケッショウバン</t>
    </rPh>
    <phoneticPr fontId="14"/>
  </si>
  <si>
    <t xml:space="preserve"> 洗 浄 血 小 板 成 分</t>
    <rPh sb="1" eb="2">
      <t>ススグ</t>
    </rPh>
    <rPh sb="3" eb="4">
      <t>キヨシ</t>
    </rPh>
    <rPh sb="5" eb="6">
      <t>チ</t>
    </rPh>
    <rPh sb="7" eb="8">
      <t>ショウ</t>
    </rPh>
    <rPh sb="9" eb="10">
      <t>イタ</t>
    </rPh>
    <rPh sb="11" eb="12">
      <t>シゲル</t>
    </rPh>
    <rPh sb="13" eb="14">
      <t>ブン</t>
    </rPh>
    <phoneticPr fontId="14"/>
  </si>
  <si>
    <t xml:space="preserve"> 洗浄血小板ＨＬＡ成分</t>
    <rPh sb="1" eb="3">
      <t>センジョウ</t>
    </rPh>
    <rPh sb="3" eb="6">
      <t>ケッショウバン</t>
    </rPh>
    <rPh sb="9" eb="11">
      <t>セイブン</t>
    </rPh>
    <phoneticPr fontId="14"/>
  </si>
  <si>
    <t>製       剤       名</t>
    <phoneticPr fontId="11"/>
  </si>
  <si>
    <t>計</t>
    <phoneticPr fontId="11"/>
  </si>
  <si>
    <t>供給割合</t>
    <phoneticPr fontId="11"/>
  </si>
  <si>
    <t>前年度比</t>
    <phoneticPr fontId="11"/>
  </si>
  <si>
    <t xml:space="preserve"> 200ml</t>
    <phoneticPr fontId="11"/>
  </si>
  <si>
    <t xml:space="preserve"> 400ml</t>
    <phoneticPr fontId="11"/>
  </si>
  <si>
    <t>８　血液</t>
    <rPh sb="2" eb="4">
      <t>ケツエキ</t>
    </rPh>
    <phoneticPr fontId="2"/>
  </si>
  <si>
    <t>8-1</t>
    <phoneticPr fontId="2"/>
  </si>
  <si>
    <t>8-2</t>
    <phoneticPr fontId="2"/>
  </si>
  <si>
    <t>8-3</t>
    <phoneticPr fontId="2"/>
  </si>
  <si>
    <t>8-4</t>
    <phoneticPr fontId="2"/>
  </si>
  <si>
    <t>8-5-1</t>
    <phoneticPr fontId="2"/>
  </si>
  <si>
    <t>8-5-2</t>
    <phoneticPr fontId="2"/>
  </si>
  <si>
    <t>400ml</t>
    <phoneticPr fontId="11"/>
  </si>
  <si>
    <t>200ml</t>
    <phoneticPr fontId="11"/>
  </si>
  <si>
    <t>8  血液</t>
    <rPh sb="3" eb="5">
      <t>ケツエキ</t>
    </rPh>
    <phoneticPr fontId="11"/>
  </si>
  <si>
    <t>8-1 献血実績、年度別</t>
    <phoneticPr fontId="11"/>
  </si>
  <si>
    <t>献血実績 (人)</t>
    <phoneticPr fontId="11"/>
  </si>
  <si>
    <t>目　　標</t>
    <phoneticPr fontId="11"/>
  </si>
  <si>
    <t>対前年度</t>
    <phoneticPr fontId="11"/>
  </si>
  <si>
    <t>達成率(％)</t>
    <phoneticPr fontId="11"/>
  </si>
  <si>
    <t xml:space="preserve"> </t>
    <phoneticPr fontId="11"/>
  </si>
  <si>
    <t>-</t>
    <phoneticPr fontId="11"/>
  </si>
  <si>
    <t>8-2　献血者数、年度・受入施設別</t>
    <rPh sb="4" eb="6">
      <t>ケンケツ</t>
    </rPh>
    <rPh sb="6" eb="7">
      <t>シャ</t>
    </rPh>
    <rPh sb="7" eb="8">
      <t>スウ</t>
    </rPh>
    <rPh sb="9" eb="11">
      <t>ネンド</t>
    </rPh>
    <rPh sb="12" eb="14">
      <t>ウケイレ</t>
    </rPh>
    <rPh sb="14" eb="16">
      <t>シセツ</t>
    </rPh>
    <rPh sb="16" eb="17">
      <t>ベツ</t>
    </rPh>
    <phoneticPr fontId="11"/>
  </si>
  <si>
    <t>(</t>
    <phoneticPr fontId="11"/>
  </si>
  <si>
    <t>）</t>
    <phoneticPr fontId="11"/>
  </si>
  <si>
    <t>)</t>
    <phoneticPr fontId="11"/>
  </si>
  <si>
    <t>成 分</t>
    <phoneticPr fontId="11"/>
  </si>
  <si>
    <t>8-4  献血実施状況、保健所別</t>
    <phoneticPr fontId="11"/>
  </si>
  <si>
    <t>8-5-2  血液製剤供給状況、月・品目別</t>
    <phoneticPr fontId="11"/>
  </si>
  <si>
    <t xml:space="preserve">  200ml</t>
    <phoneticPr fontId="11"/>
  </si>
  <si>
    <t xml:space="preserve">  400ml</t>
    <phoneticPr fontId="11"/>
  </si>
  <si>
    <t xml:space="preserve"> 解凍赤血球液</t>
    <phoneticPr fontId="14"/>
  </si>
  <si>
    <t xml:space="preserve">  1単位</t>
    <rPh sb="3" eb="5">
      <t>タンイ</t>
    </rPh>
    <phoneticPr fontId="11"/>
  </si>
  <si>
    <t xml:space="preserve">  4単位</t>
    <phoneticPr fontId="14"/>
  </si>
  <si>
    <t>献　　血</t>
    <phoneticPr fontId="11"/>
  </si>
  <si>
    <t>8-3  献血申込者・不適格者の状況、年度別</t>
    <phoneticPr fontId="11"/>
  </si>
  <si>
    <t>申     込     者     数</t>
    <phoneticPr fontId="11"/>
  </si>
  <si>
    <t>不          適          格          者          数</t>
    <phoneticPr fontId="11"/>
  </si>
  <si>
    <t>献     血     者     数</t>
    <phoneticPr fontId="11"/>
  </si>
  <si>
    <t>低比重による不適格者</t>
    <phoneticPr fontId="11"/>
  </si>
  <si>
    <t>その他の不適格者</t>
    <phoneticPr fontId="11"/>
  </si>
  <si>
    <t>8-5-1  血液製剤供給状況、年度別</t>
    <phoneticPr fontId="11"/>
  </si>
  <si>
    <t>単位; 単位数</t>
    <phoneticPr fontId="14"/>
  </si>
  <si>
    <t xml:space="preserve"> 成  分  製  剤</t>
    <phoneticPr fontId="14"/>
  </si>
  <si>
    <t xml:space="preserve"> 合            計</t>
    <phoneticPr fontId="14"/>
  </si>
  <si>
    <t>(単位：本)</t>
    <phoneticPr fontId="14"/>
  </si>
  <si>
    <t xml:space="preserve"> 合  計</t>
    <phoneticPr fontId="11"/>
  </si>
  <si>
    <t xml:space="preserve">      -</t>
    <phoneticPr fontId="11"/>
  </si>
  <si>
    <t>注：計はバック数で、小計・合計・対前年度比・供給割合は200ml換算して計算した。</t>
    <rPh sb="10" eb="12">
      <t>ショウケイ</t>
    </rPh>
    <rPh sb="13" eb="15">
      <t>ゴウケイ</t>
    </rPh>
    <rPh sb="22" eb="24">
      <t>キョウキュウ</t>
    </rPh>
    <rPh sb="24" eb="26">
      <t>ワリアイ</t>
    </rPh>
    <phoneticPr fontId="11"/>
  </si>
  <si>
    <t>感染症対策・薬務課</t>
    <rPh sb="0" eb="5">
      <t>カンセンショウタイサク</t>
    </rPh>
    <rPh sb="6" eb="9">
      <t>ヤクムカ</t>
    </rPh>
    <phoneticPr fontId="2"/>
  </si>
  <si>
    <t>資料：「感染症対策・薬務課調べ」</t>
    <rPh sb="4" eb="7">
      <t>カンセンショウ</t>
    </rPh>
    <rPh sb="7" eb="9">
      <t>タイサク</t>
    </rPh>
    <rPh sb="10" eb="13">
      <t>ヤクムカ</t>
    </rPh>
    <rPh sb="12" eb="13">
      <t>カ</t>
    </rPh>
    <rPh sb="13" eb="14">
      <t>シラ</t>
    </rPh>
    <phoneticPr fontId="14"/>
  </si>
  <si>
    <t>資料：「感染症対策・薬務課調べ」</t>
    <rPh sb="4" eb="7">
      <t>カンセンショウ</t>
    </rPh>
    <rPh sb="7" eb="9">
      <t>タイサク</t>
    </rPh>
    <rPh sb="10" eb="13">
      <t>ヤクムカ</t>
    </rPh>
    <rPh sb="12" eb="13">
      <t>カ</t>
    </rPh>
    <rPh sb="13" eb="14">
      <t>シラ</t>
    </rPh>
    <phoneticPr fontId="9"/>
  </si>
  <si>
    <t>令和４年度</t>
    <rPh sb="0" eb="2">
      <t>レイワ</t>
    </rPh>
    <rPh sb="3" eb="5">
      <t>ネンド</t>
    </rPh>
    <phoneticPr fontId="11"/>
  </si>
  <si>
    <t>令和５年度</t>
    <rPh sb="0" eb="2">
      <t>レイワ</t>
    </rPh>
    <rPh sb="3" eb="5">
      <t>ネンド</t>
    </rPh>
    <phoneticPr fontId="11"/>
  </si>
  <si>
    <t xml:space="preserve"> </t>
  </si>
  <si>
    <t xml:space="preserve"> 4単位</t>
    <phoneticPr fontId="2"/>
  </si>
  <si>
    <t>200ml</t>
  </si>
  <si>
    <t>400ml</t>
  </si>
  <si>
    <t>令和６年度</t>
    <rPh sb="0" eb="2">
      <t>レイワ</t>
    </rPh>
    <rPh sb="3" eb="5">
      <t>ネンド</t>
    </rPh>
    <phoneticPr fontId="11"/>
  </si>
  <si>
    <t>令和６年度</t>
    <phoneticPr fontId="14"/>
  </si>
  <si>
    <t>R5</t>
    <phoneticPr fontId="2"/>
  </si>
  <si>
    <t xml:space="preserve"> R6/4</t>
    <phoneticPr fontId="11"/>
  </si>
  <si>
    <t>R7/1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</si>
</sst>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0.0"/>
    <numFmt numFmtId="177" formatCode="#,##0_);[Red]\(#,##0\)"/>
    <numFmt numFmtId="178" formatCode="#,##0.00_);[Red]\(#,##0.00\)"/>
    <numFmt numFmtId="179" formatCode="_ * #,##0.0_ ;_ * \-#,##0.0_ ;_ * &quot;-&quot;?_ ;_ @_ "/>
    <numFmt numFmtId="180" formatCode="#,##0;\-#,##0;\-"/>
    <numFmt numFmtId="181" formatCode="#,##0.0_);[Red]\(#,##0.0\)"/>
    <numFmt numFmtId="182" formatCode="0.0_);[Red]\(0.0\)"/>
    <numFmt numFmtId="183" formatCode="#,##0_ "/>
    <numFmt numFmtId="184" formatCode="#,##0.0;\-#,##0.0;\-"/>
    <numFmt numFmtId="185" formatCode="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3.5"/>
      <name val="FixedSys"/>
      <charset val="128"/>
    </font>
    <font>
      <b/>
      <sz val="22"/>
      <name val="ＭＳ 明朝"/>
      <family val="1"/>
      <charset val="128"/>
    </font>
    <font>
      <sz val="6.75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b/>
      <sz val="11"/>
      <name val="ＭＳ 明朝"/>
      <family val="1"/>
      <charset val="128"/>
    </font>
    <font>
      <sz val="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9" fillId="0" borderId="0"/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 shrinkToFit="1"/>
    </xf>
    <xf numFmtId="0" fontId="5" fillId="0" borderId="0" xfId="0" applyFont="1" applyAlignment="1">
      <alignment vertical="top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shrinkToFit="1"/>
    </xf>
    <xf numFmtId="38" fontId="13" fillId="0" borderId="1" xfId="2" applyFont="1" applyFill="1" applyBorder="1" applyAlignment="1" applyProtection="1">
      <alignment horizontal="center"/>
      <protection locked="0"/>
    </xf>
    <xf numFmtId="38" fontId="13" fillId="0" borderId="2" xfId="2" applyFont="1" applyFill="1" applyBorder="1" applyAlignment="1" applyProtection="1">
      <alignment horizontal="right"/>
      <protection locked="0"/>
    </xf>
    <xf numFmtId="38" fontId="13" fillId="0" borderId="0" xfId="2" applyFont="1" applyFill="1" applyBorder="1" applyAlignment="1" applyProtection="1">
      <alignment horizontal="right"/>
      <protection locked="0"/>
    </xf>
    <xf numFmtId="38" fontId="13" fillId="0" borderId="2" xfId="2" applyFont="1" applyFill="1" applyBorder="1" applyAlignment="1" applyProtection="1">
      <protection locked="0"/>
    </xf>
    <xf numFmtId="180" fontId="13" fillId="0" borderId="0" xfId="2" applyNumberFormat="1" applyFont="1" applyFill="1" applyBorder="1" applyAlignment="1" applyProtection="1">
      <protection locked="0"/>
    </xf>
    <xf numFmtId="38" fontId="13" fillId="0" borderId="0" xfId="2" applyFont="1" applyFill="1" applyBorder="1" applyAlignment="1" applyProtection="1">
      <protection locked="0"/>
    </xf>
    <xf numFmtId="38" fontId="13" fillId="0" borderId="12" xfId="2" applyFont="1" applyFill="1" applyBorder="1" applyAlignment="1" applyProtection="1">
      <protection locked="0"/>
    </xf>
    <xf numFmtId="38" fontId="13" fillId="0" borderId="9" xfId="2" applyFont="1" applyFill="1" applyBorder="1" applyAlignment="1" applyProtection="1">
      <protection locked="0"/>
    </xf>
    <xf numFmtId="177" fontId="16" fillId="0" borderId="2" xfId="2" applyNumberFormat="1" applyFont="1" applyFill="1" applyBorder="1" applyAlignment="1" applyProtection="1">
      <protection locked="0"/>
    </xf>
    <xf numFmtId="177" fontId="16" fillId="0" borderId="0" xfId="2" applyNumberFormat="1" applyFont="1" applyFill="1" applyBorder="1" applyAlignment="1" applyProtection="1">
      <protection locked="0"/>
    </xf>
    <xf numFmtId="41" fontId="13" fillId="0" borderId="0" xfId="2" applyNumberFormat="1" applyFont="1" applyFill="1" applyBorder="1" applyAlignment="1" applyProtection="1">
      <alignment horizontal="right"/>
      <protection locked="0"/>
    </xf>
    <xf numFmtId="41" fontId="13" fillId="0" borderId="0" xfId="2" applyNumberFormat="1" applyFont="1" applyFill="1" applyBorder="1" applyAlignment="1" applyProtection="1">
      <protection locked="0"/>
    </xf>
    <xf numFmtId="41" fontId="13" fillId="0" borderId="7" xfId="2" applyNumberFormat="1" applyFont="1" applyFill="1" applyBorder="1" applyAlignment="1" applyProtection="1">
      <protection locked="0"/>
    </xf>
    <xf numFmtId="41" fontId="13" fillId="0" borderId="2" xfId="2" applyNumberFormat="1" applyFont="1" applyFill="1" applyBorder="1" applyAlignment="1" applyProtection="1">
      <protection locked="0"/>
    </xf>
    <xf numFmtId="179" fontId="13" fillId="0" borderId="2" xfId="2" applyNumberFormat="1" applyFont="1" applyFill="1" applyBorder="1" applyAlignment="1" applyProtection="1">
      <protection locked="0"/>
    </xf>
    <xf numFmtId="179" fontId="13" fillId="0" borderId="7" xfId="2" applyNumberFormat="1" applyFont="1" applyFill="1" applyBorder="1" applyAlignment="1" applyProtection="1">
      <protection locked="0"/>
    </xf>
    <xf numFmtId="176" fontId="13" fillId="0" borderId="2" xfId="2" applyNumberFormat="1" applyFont="1" applyFill="1" applyBorder="1" applyAlignment="1" applyProtection="1">
      <protection locked="0"/>
    </xf>
    <xf numFmtId="42" fontId="13" fillId="0" borderId="2" xfId="2" applyNumberFormat="1" applyFont="1" applyFill="1" applyBorder="1" applyAlignment="1" applyProtection="1">
      <protection locked="0"/>
    </xf>
    <xf numFmtId="41" fontId="13" fillId="0" borderId="2" xfId="2" applyNumberFormat="1" applyFont="1" applyFill="1" applyBorder="1" applyAlignment="1" applyProtection="1">
      <alignment horizontal="right"/>
      <protection locked="0"/>
    </xf>
    <xf numFmtId="180" fontId="13" fillId="0" borderId="2" xfId="2" applyNumberFormat="1" applyFont="1" applyFill="1" applyBorder="1" applyAlignment="1" applyProtection="1">
      <protection locked="0"/>
    </xf>
    <xf numFmtId="176" fontId="13" fillId="0" borderId="2" xfId="1" applyNumberFormat="1" applyFont="1" applyFill="1" applyBorder="1" applyAlignment="1" applyProtection="1">
      <protection locked="0"/>
    </xf>
    <xf numFmtId="38" fontId="13" fillId="0" borderId="0" xfId="2" applyFont="1" applyFill="1" applyBorder="1" applyAlignment="1">
      <alignment horizontal="left" vertical="top"/>
    </xf>
    <xf numFmtId="181" fontId="16" fillId="0" borderId="2" xfId="2" applyNumberFormat="1" applyFont="1" applyFill="1" applyBorder="1" applyAlignment="1" applyProtection="1"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179" fontId="13" fillId="0" borderId="0" xfId="0" applyNumberFormat="1" applyFont="1" applyAlignment="1" applyProtection="1">
      <protection locked="0"/>
    </xf>
    <xf numFmtId="0" fontId="13" fillId="0" borderId="14" xfId="0" applyFont="1" applyBorder="1" applyAlignment="1" applyProtection="1">
      <protection locked="0"/>
    </xf>
    <xf numFmtId="0" fontId="13" fillId="0" borderId="3" xfId="0" applyFont="1" applyBorder="1" applyAlignment="1" applyProtection="1">
      <protection locked="0"/>
    </xf>
    <xf numFmtId="0" fontId="13" fillId="0" borderId="4" xfId="0" applyFont="1" applyBorder="1" applyAlignment="1" applyProtection="1">
      <protection locked="0"/>
    </xf>
    <xf numFmtId="179" fontId="13" fillId="0" borderId="4" xfId="0" applyNumberFormat="1" applyFont="1" applyBorder="1" applyAlignment="1" applyProtection="1">
      <protection locked="0"/>
    </xf>
    <xf numFmtId="179" fontId="13" fillId="0" borderId="5" xfId="0" applyNumberFormat="1" applyFont="1" applyBorder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protection locked="0"/>
    </xf>
    <xf numFmtId="0" fontId="13" fillId="0" borderId="2" xfId="0" applyFont="1" applyBorder="1" applyAlignment="1" applyProtection="1">
      <alignment horizontal="center"/>
      <protection locked="0"/>
    </xf>
    <xf numFmtId="56" fontId="13" fillId="0" borderId="2" xfId="0" quotePrefix="1" applyNumberFormat="1" applyFont="1" applyBorder="1" applyAlignment="1" applyProtection="1">
      <alignment horizontal="center"/>
      <protection locked="0"/>
    </xf>
    <xf numFmtId="179" fontId="13" fillId="0" borderId="2" xfId="0" applyNumberFormat="1" applyFont="1" applyBorder="1" applyAlignment="1" applyProtection="1">
      <protection locked="0"/>
    </xf>
    <xf numFmtId="179" fontId="13" fillId="0" borderId="7" xfId="0" applyNumberFormat="1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8" xfId="0" applyFont="1" applyBorder="1" applyAlignment="1" applyProtection="1">
      <protection locked="0"/>
    </xf>
    <xf numFmtId="0" fontId="13" fillId="0" borderId="9" xfId="0" applyFont="1" applyBorder="1" applyAlignment="1" applyProtection="1">
      <protection locked="0"/>
    </xf>
    <xf numFmtId="179" fontId="13" fillId="0" borderId="9" xfId="0" applyNumberFormat="1" applyFont="1" applyBorder="1" applyAlignment="1" applyProtection="1">
      <protection locked="0"/>
    </xf>
    <xf numFmtId="179" fontId="13" fillId="0" borderId="10" xfId="0" applyNumberFormat="1" applyFont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181" fontId="13" fillId="0" borderId="7" xfId="0" applyNumberFormat="1" applyFont="1" applyBorder="1" applyAlignment="1" applyProtection="1">
      <protection locked="0"/>
    </xf>
    <xf numFmtId="178" fontId="13" fillId="0" borderId="2" xfId="0" applyNumberFormat="1" applyFont="1" applyBorder="1" applyAlignment="1" applyProtection="1">
      <protection locked="0"/>
    </xf>
    <xf numFmtId="176" fontId="13" fillId="0" borderId="2" xfId="0" applyNumberFormat="1" applyFont="1" applyBorder="1" applyAlignment="1" applyProtection="1">
      <protection locked="0"/>
    </xf>
    <xf numFmtId="180" fontId="13" fillId="0" borderId="2" xfId="0" applyNumberFormat="1" applyFont="1" applyBorder="1" applyAlignment="1" applyProtection="1">
      <protection locked="0"/>
    </xf>
    <xf numFmtId="180" fontId="13" fillId="0" borderId="7" xfId="0" applyNumberFormat="1" applyFont="1" applyBorder="1" applyAlignment="1" applyProtection="1">
      <protection locked="0"/>
    </xf>
    <xf numFmtId="182" fontId="13" fillId="0" borderId="7" xfId="0" applyNumberFormat="1" applyFont="1" applyBorder="1" applyAlignment="1" applyProtection="1">
      <protection locked="0"/>
    </xf>
    <xf numFmtId="183" fontId="13" fillId="0" borderId="0" xfId="0" applyNumberFormat="1" applyFont="1" applyAlignment="1" applyProtection="1">
      <protection locked="0"/>
    </xf>
    <xf numFmtId="183" fontId="13" fillId="0" borderId="1" xfId="0" applyNumberFormat="1" applyFont="1" applyBorder="1" applyAlignment="1" applyProtection="1">
      <protection locked="0"/>
    </xf>
    <xf numFmtId="2" fontId="13" fillId="0" borderId="2" xfId="0" applyNumberFormat="1" applyFont="1" applyBorder="1" applyAlignment="1" applyProtection="1">
      <protection locked="0"/>
    </xf>
    <xf numFmtId="179" fontId="13" fillId="0" borderId="1" xfId="0" applyNumberFormat="1" applyFont="1" applyBorder="1" applyAlignment="1" applyProtection="1">
      <protection locked="0"/>
    </xf>
    <xf numFmtId="184" fontId="13" fillId="0" borderId="7" xfId="0" applyNumberFormat="1" applyFont="1" applyBorder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180" fontId="13" fillId="0" borderId="2" xfId="2" applyNumberFormat="1" applyFont="1" applyFill="1" applyBorder="1" applyAlignment="1" applyProtection="1">
      <alignment horizontal="right"/>
      <protection locked="0"/>
    </xf>
    <xf numFmtId="3" fontId="13" fillId="0" borderId="2" xfId="2" applyNumberFormat="1" applyFont="1" applyFill="1" applyBorder="1" applyAlignment="1" applyProtection="1">
      <protection locked="0"/>
    </xf>
    <xf numFmtId="41" fontId="13" fillId="0" borderId="2" xfId="0" applyNumberFormat="1" applyFont="1" applyBorder="1" applyAlignment="1" applyProtection="1">
      <protection locked="0"/>
    </xf>
    <xf numFmtId="185" fontId="13" fillId="0" borderId="2" xfId="0" applyNumberFormat="1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/>
    <xf numFmtId="0" fontId="13" fillId="0" borderId="0" xfId="0" applyFont="1" applyAlignment="1" applyProtection="1">
      <alignment horizontal="right"/>
      <protection locked="0"/>
    </xf>
    <xf numFmtId="0" fontId="13" fillId="0" borderId="6" xfId="0" applyFont="1" applyBorder="1" applyProtection="1">
      <alignment vertical="center"/>
      <protection locked="0"/>
    </xf>
    <xf numFmtId="41" fontId="13" fillId="0" borderId="5" xfId="0" applyNumberFormat="1" applyFont="1" applyBorder="1" applyAlignment="1" applyProtection="1">
      <protection locked="0"/>
    </xf>
    <xf numFmtId="41" fontId="13" fillId="0" borderId="14" xfId="0" applyNumberFormat="1" applyFont="1" applyBorder="1" applyAlignment="1" applyProtection="1">
      <protection locked="0"/>
    </xf>
    <xf numFmtId="41" fontId="13" fillId="0" borderId="7" xfId="0" applyNumberFormat="1" applyFont="1" applyBorder="1" applyAlignment="1" applyProtection="1">
      <protection locked="0"/>
    </xf>
    <xf numFmtId="0" fontId="13" fillId="0" borderId="1" xfId="0" applyFont="1" applyBorder="1" applyAlignment="1" applyProtection="1">
      <alignment horizontal="left"/>
      <protection locked="0"/>
    </xf>
    <xf numFmtId="41" fontId="13" fillId="0" borderId="0" xfId="0" applyNumberFormat="1" applyFont="1" applyAlignment="1" applyProtection="1">
      <protection locked="0"/>
    </xf>
    <xf numFmtId="41" fontId="13" fillId="0" borderId="0" xfId="0" applyNumberFormat="1" applyFont="1" applyAlignment="1" applyProtection="1">
      <alignment horizontal="right"/>
      <protection locked="0"/>
    </xf>
    <xf numFmtId="179" fontId="13" fillId="0" borderId="0" xfId="0" applyNumberFormat="1" applyFont="1" applyAlignment="1" applyProtection="1">
      <alignment horizontal="right"/>
      <protection locked="0"/>
    </xf>
    <xf numFmtId="41" fontId="13" fillId="0" borderId="10" xfId="0" applyNumberFormat="1" applyFont="1" applyBorder="1" applyAlignment="1" applyProtection="1">
      <protection locked="0"/>
    </xf>
    <xf numFmtId="41" fontId="13" fillId="0" borderId="13" xfId="0" applyNumberFormat="1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protection locked="0"/>
    </xf>
    <xf numFmtId="176" fontId="13" fillId="0" borderId="2" xfId="0" applyNumberFormat="1" applyFont="1" applyBorder="1" applyAlignment="1" applyProtection="1">
      <alignment horizontal="right"/>
      <protection locked="0"/>
    </xf>
    <xf numFmtId="2" fontId="13" fillId="0" borderId="7" xfId="0" applyNumberFormat="1" applyFont="1" applyBorder="1" applyAlignment="1" applyProtection="1">
      <protection locked="0"/>
    </xf>
    <xf numFmtId="0" fontId="13" fillId="0" borderId="11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center"/>
      <protection locked="0"/>
    </xf>
    <xf numFmtId="176" fontId="13" fillId="0" borderId="12" xfId="0" applyNumberFormat="1" applyFont="1" applyBorder="1" applyAlignment="1" applyProtection="1">
      <protection locked="0"/>
    </xf>
    <xf numFmtId="176" fontId="13" fillId="0" borderId="0" xfId="0" applyNumberFormat="1" applyFont="1" applyAlignment="1" applyProtection="1">
      <alignment horizontal="right"/>
      <protection locked="0"/>
    </xf>
    <xf numFmtId="2" fontId="13" fillId="0" borderId="0" xfId="0" applyNumberFormat="1" applyFont="1" applyAlignment="1" applyProtection="1">
      <protection locked="0"/>
    </xf>
    <xf numFmtId="176" fontId="13" fillId="0" borderId="0" xfId="0" applyNumberFormat="1" applyFont="1" applyAlignment="1" applyProtection="1">
      <protection locked="0"/>
    </xf>
    <xf numFmtId="0" fontId="13" fillId="0" borderId="9" xfId="0" applyFont="1" applyBorder="1" applyAlignment="1" applyProtection="1">
      <alignment horizontal="center"/>
      <protection locked="0"/>
    </xf>
    <xf numFmtId="176" fontId="13" fillId="0" borderId="9" xfId="0" applyNumberFormat="1" applyFont="1" applyBorder="1" applyAlignment="1" applyProtection="1">
      <protection locked="0"/>
    </xf>
    <xf numFmtId="177" fontId="12" fillId="0" borderId="0" xfId="0" applyNumberFormat="1" applyFont="1" applyAlignment="1" applyProtection="1">
      <protection locked="0"/>
    </xf>
    <xf numFmtId="177" fontId="3" fillId="0" borderId="0" xfId="0" applyNumberFormat="1" applyFont="1" applyAlignment="1" applyProtection="1">
      <protection locked="0"/>
    </xf>
    <xf numFmtId="177" fontId="4" fillId="0" borderId="0" xfId="0" applyNumberFormat="1" applyFont="1" applyAlignment="1" applyProtection="1">
      <protection locked="0"/>
    </xf>
    <xf numFmtId="177" fontId="13" fillId="0" borderId="0" xfId="0" applyNumberFormat="1" applyFont="1" applyAlignment="1" applyProtection="1">
      <protection locked="0"/>
    </xf>
    <xf numFmtId="177" fontId="13" fillId="0" borderId="9" xfId="0" applyNumberFormat="1" applyFont="1" applyBorder="1" applyAlignment="1" applyProtection="1">
      <alignment horizontal="center" vertical="center"/>
      <protection locked="0"/>
    </xf>
    <xf numFmtId="177" fontId="16" fillId="0" borderId="1" xfId="0" applyNumberFormat="1" applyFont="1" applyBorder="1" applyAlignment="1" applyProtection="1">
      <alignment horizontal="right" shrinkToFit="1"/>
      <protection locked="0"/>
    </xf>
    <xf numFmtId="177" fontId="16" fillId="0" borderId="2" xfId="0" applyNumberFormat="1" applyFont="1" applyBorder="1" applyAlignment="1" applyProtection="1">
      <protection locked="0"/>
    </xf>
    <xf numFmtId="177" fontId="16" fillId="0" borderId="7" xfId="0" applyNumberFormat="1" applyFont="1" applyBorder="1" applyAlignment="1" applyProtection="1">
      <protection locked="0"/>
    </xf>
    <xf numFmtId="177" fontId="16" fillId="0" borderId="0" xfId="0" applyNumberFormat="1" applyFont="1" applyAlignment="1" applyProtection="1">
      <protection locked="0"/>
    </xf>
    <xf numFmtId="177" fontId="16" fillId="0" borderId="1" xfId="0" applyNumberFormat="1" applyFont="1" applyBorder="1" applyAlignment="1" applyProtection="1">
      <protection locked="0"/>
    </xf>
    <xf numFmtId="181" fontId="16" fillId="0" borderId="1" xfId="0" applyNumberFormat="1" applyFont="1" applyBorder="1" applyAlignment="1" applyProtection="1">
      <alignment horizontal="right" shrinkToFit="1"/>
      <protection locked="0"/>
    </xf>
    <xf numFmtId="181" fontId="16" fillId="0" borderId="2" xfId="0" applyNumberFormat="1" applyFont="1" applyBorder="1" applyAlignment="1" applyProtection="1">
      <protection locked="0"/>
    </xf>
    <xf numFmtId="181" fontId="13" fillId="0" borderId="0" xfId="0" applyNumberFormat="1" applyFont="1" applyAlignment="1" applyProtection="1">
      <protection locked="0"/>
    </xf>
    <xf numFmtId="181" fontId="13" fillId="0" borderId="1" xfId="0" applyNumberFormat="1" applyFont="1" applyBorder="1" applyAlignment="1" applyProtection="1">
      <protection locked="0"/>
    </xf>
    <xf numFmtId="181" fontId="13" fillId="0" borderId="2" xfId="0" applyNumberFormat="1" applyFont="1" applyBorder="1" applyAlignment="1" applyProtection="1">
      <protection locked="0"/>
    </xf>
    <xf numFmtId="181" fontId="16" fillId="0" borderId="0" xfId="0" applyNumberFormat="1" applyFont="1" applyAlignment="1" applyProtection="1">
      <protection locked="0"/>
    </xf>
    <xf numFmtId="177" fontId="13" fillId="0" borderId="1" xfId="0" applyNumberFormat="1" applyFont="1" applyBorder="1" applyAlignment="1" applyProtection="1">
      <alignment horizontal="right"/>
      <protection locked="0"/>
    </xf>
    <xf numFmtId="177" fontId="13" fillId="0" borderId="2" xfId="0" applyNumberFormat="1" applyFont="1" applyBorder="1" applyAlignment="1" applyProtection="1">
      <protection locked="0"/>
    </xf>
    <xf numFmtId="177" fontId="13" fillId="0" borderId="7" xfId="0" applyNumberFormat="1" applyFont="1" applyBorder="1" applyAlignment="1" applyProtection="1">
      <protection locked="0"/>
    </xf>
    <xf numFmtId="177" fontId="13" fillId="0" borderId="1" xfId="0" applyNumberFormat="1" applyFont="1" applyBorder="1" applyAlignment="1" applyProtection="1">
      <protection locked="0"/>
    </xf>
    <xf numFmtId="177" fontId="13" fillId="0" borderId="1" xfId="0" applyNumberFormat="1" applyFont="1" applyBorder="1" applyAlignment="1" applyProtection="1">
      <alignment horizontal="right" shrinkToFit="1"/>
      <protection locked="0"/>
    </xf>
    <xf numFmtId="177" fontId="13" fillId="0" borderId="8" xfId="0" applyNumberFormat="1" applyFont="1" applyBorder="1" applyAlignment="1" applyProtection="1">
      <alignment horizontal="right" shrinkToFit="1"/>
      <protection locked="0"/>
    </xf>
    <xf numFmtId="177" fontId="13" fillId="0" borderId="9" xfId="0" applyNumberFormat="1" applyFont="1" applyBorder="1" applyAlignment="1" applyProtection="1">
      <protection locked="0"/>
    </xf>
    <xf numFmtId="177" fontId="13" fillId="0" borderId="10" xfId="0" applyNumberFormat="1" applyFont="1" applyBorder="1" applyAlignment="1" applyProtection="1">
      <protection locked="0"/>
    </xf>
    <xf numFmtId="177" fontId="13" fillId="0" borderId="13" xfId="0" applyNumberFormat="1" applyFont="1" applyBorder="1" applyAlignment="1" applyProtection="1">
      <protection locked="0"/>
    </xf>
    <xf numFmtId="177" fontId="13" fillId="0" borderId="8" xfId="0" applyNumberFormat="1" applyFont="1" applyBorder="1" applyAlignment="1" applyProtection="1">
      <protection locked="0"/>
    </xf>
    <xf numFmtId="0" fontId="15" fillId="0" borderId="0" xfId="0" applyFont="1" applyAlignment="1" applyProtection="1"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protection locked="0"/>
    </xf>
    <xf numFmtId="176" fontId="13" fillId="0" borderId="7" xfId="0" applyNumberFormat="1" applyFont="1" applyBorder="1" applyAlignment="1" applyProtection="1">
      <protection locked="0"/>
    </xf>
    <xf numFmtId="3" fontId="13" fillId="0" borderId="2" xfId="0" applyNumberFormat="1" applyFont="1" applyBorder="1" applyAlignment="1" applyProtection="1">
      <protection locked="0"/>
    </xf>
    <xf numFmtId="176" fontId="13" fillId="0" borderId="7" xfId="0" applyNumberFormat="1" applyFont="1" applyBorder="1" applyAlignment="1" applyProtection="1">
      <alignment horizontal="right"/>
      <protection locked="0"/>
    </xf>
    <xf numFmtId="176" fontId="13" fillId="0" borderId="10" xfId="0" applyNumberFormat="1" applyFont="1" applyBorder="1" applyAlignment="1" applyProtection="1"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13" fillId="0" borderId="1" xfId="0" applyNumberFormat="1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righ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3" fontId="13" fillId="0" borderId="2" xfId="0" applyNumberFormat="1" applyFont="1" applyBorder="1" applyAlignment="1" applyProtection="1">
      <alignment horizontal="right"/>
      <protection locked="0"/>
    </xf>
    <xf numFmtId="0" fontId="16" fillId="0" borderId="0" xfId="0" applyFont="1" applyAlignment="1" applyProtection="1">
      <protection locked="0"/>
    </xf>
    <xf numFmtId="49" fontId="13" fillId="0" borderId="13" xfId="0" applyNumberFormat="1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horizontal="right"/>
      <protection locked="0"/>
    </xf>
    <xf numFmtId="0" fontId="13" fillId="0" borderId="10" xfId="0" applyFont="1" applyBorder="1" applyAlignment="1" applyProtection="1">
      <protection locked="0"/>
    </xf>
    <xf numFmtId="49" fontId="5" fillId="2" borderId="18" xfId="0" applyNumberFormat="1" applyFont="1" applyFill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177" fontId="13" fillId="0" borderId="4" xfId="0" applyNumberFormat="1" applyFont="1" applyBorder="1" applyAlignment="1" applyProtection="1">
      <alignment horizontal="center" vertical="center"/>
      <protection locked="0"/>
    </xf>
    <xf numFmtId="177" fontId="13" fillId="0" borderId="9" xfId="0" applyNumberFormat="1" applyFont="1" applyBorder="1" applyAlignment="1" applyProtection="1">
      <alignment horizontal="center" vertical="center"/>
      <protection locked="0"/>
    </xf>
    <xf numFmtId="177" fontId="13" fillId="0" borderId="5" xfId="0" applyNumberFormat="1" applyFont="1" applyBorder="1" applyAlignment="1" applyProtection="1">
      <alignment horizontal="center" vertical="center"/>
      <protection locked="0"/>
    </xf>
    <xf numFmtId="177" fontId="13" fillId="0" borderId="10" xfId="0" applyNumberFormat="1" applyFont="1" applyBorder="1" applyAlignment="1" applyProtection="1">
      <alignment horizontal="center" vertical="center"/>
      <protection locked="0"/>
    </xf>
    <xf numFmtId="177" fontId="13" fillId="0" borderId="2" xfId="0" applyNumberFormat="1" applyFont="1" applyBorder="1" applyAlignment="1" applyProtection="1">
      <alignment horizontal="center" vertical="center"/>
      <protection locked="0"/>
    </xf>
    <xf numFmtId="177" fontId="13" fillId="0" borderId="17" xfId="0" applyNumberFormat="1" applyFont="1" applyBorder="1" applyAlignment="1" applyProtection="1">
      <alignment horizontal="center" vertical="center"/>
      <protection locked="0"/>
    </xf>
    <xf numFmtId="177" fontId="13" fillId="0" borderId="3" xfId="0" applyNumberFormat="1" applyFont="1" applyBorder="1" applyAlignment="1" applyProtection="1">
      <alignment horizontal="center" vertical="center"/>
      <protection locked="0"/>
    </xf>
    <xf numFmtId="177" fontId="13" fillId="0" borderId="1" xfId="0" applyNumberFormat="1" applyFont="1" applyBorder="1" applyAlignment="1" applyProtection="1">
      <alignment horizontal="center" vertical="center"/>
      <protection locked="0"/>
    </xf>
    <xf numFmtId="177" fontId="13" fillId="0" borderId="8" xfId="0" applyNumberFormat="1" applyFont="1" applyBorder="1" applyAlignment="1" applyProtection="1">
      <alignment horizontal="center" vertical="center"/>
      <protection locked="0"/>
    </xf>
    <xf numFmtId="177" fontId="13" fillId="0" borderId="15" xfId="0" applyNumberFormat="1" applyFont="1" applyBorder="1" applyAlignment="1" applyProtection="1">
      <alignment horizontal="center" vertical="center"/>
      <protection locked="0"/>
    </xf>
    <xf numFmtId="177" fontId="13" fillId="0" borderId="16" xfId="0" applyNumberFormat="1" applyFont="1" applyBorder="1" applyAlignment="1" applyProtection="1">
      <alignment horizontal="center" vertical="center"/>
      <protection locked="0"/>
    </xf>
    <xf numFmtId="177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78" fontId="13" fillId="0" borderId="13" xfId="0" applyNumberFormat="1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</cellXfs>
  <cellStyles count="4">
    <cellStyle name="パーセント" xfId="1" builtinId="5"/>
    <cellStyle name="桁区切り 2" xfId="2" xr:uid="{68DF351E-3FEC-4BDA-B366-C786FF70EF4E}"/>
    <cellStyle name="標準" xfId="0" builtinId="0"/>
    <cellStyle name="標準 2" xfId="3" xr:uid="{4610A0CD-BB13-4BA4-8EFB-F6378B08B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6B21-DB9B-4802-8787-E03DD6D6FDB0}">
  <sheetPr codeName="Sheet1"/>
  <dimension ref="A1:F10"/>
  <sheetViews>
    <sheetView showGridLines="0" zoomScaleNormal="100" zoomScaleSheetLayoutView="100" workbookViewId="0">
      <selection activeCell="G19" sqref="G19"/>
    </sheetView>
  </sheetViews>
  <sheetFormatPr defaultColWidth="9" defaultRowHeight="13.5" x14ac:dyDescent="0.15"/>
  <cols>
    <col min="1" max="1" width="4.5" style="3" customWidth="1"/>
    <col min="2" max="2" width="2.5" style="4" customWidth="1"/>
    <col min="3" max="3" width="10.125" style="5" customWidth="1"/>
    <col min="4" max="4" width="55.5" style="6" customWidth="1"/>
    <col min="5" max="5" width="0.875" style="2" customWidth="1"/>
    <col min="6" max="6" width="18.5" style="9" customWidth="1"/>
    <col min="7" max="7" width="5.875" style="2" customWidth="1"/>
    <col min="8" max="16384" width="9" style="2"/>
  </cols>
  <sheetData>
    <row r="1" spans="1:6" s="7" customFormat="1" ht="15" customHeight="1" x14ac:dyDescent="0.15">
      <c r="A1" s="10"/>
      <c r="B1" s="158" t="s">
        <v>0</v>
      </c>
      <c r="C1" s="158"/>
      <c r="D1" s="16" t="s">
        <v>1</v>
      </c>
      <c r="E1" s="17"/>
      <c r="F1" s="18" t="s">
        <v>2</v>
      </c>
    </row>
    <row r="2" spans="1:6" s="7" customFormat="1" ht="9.9499999999999993" customHeight="1" x14ac:dyDescent="0.15">
      <c r="A2" s="10"/>
      <c r="B2" s="11"/>
      <c r="C2" s="12"/>
      <c r="D2" s="13"/>
      <c r="E2" s="14"/>
      <c r="F2" s="15"/>
    </row>
    <row r="3" spans="1:6" s="1" customFormat="1" ht="24" customHeight="1" x14ac:dyDescent="0.15">
      <c r="A3" s="3"/>
      <c r="B3" s="4" t="s">
        <v>95</v>
      </c>
      <c r="C3" s="5"/>
      <c r="D3" s="6"/>
      <c r="F3" s="8"/>
    </row>
    <row r="4" spans="1:6" s="1" customFormat="1" ht="15" customHeight="1" x14ac:dyDescent="0.15">
      <c r="A4" s="3"/>
      <c r="B4" s="4"/>
      <c r="C4" s="5" t="s">
        <v>96</v>
      </c>
      <c r="D4" s="6" t="s">
        <v>3</v>
      </c>
      <c r="F4" s="8" t="s">
        <v>139</v>
      </c>
    </row>
    <row r="5" spans="1:6" s="1" customFormat="1" ht="15" customHeight="1" x14ac:dyDescent="0.15">
      <c r="A5" s="3"/>
      <c r="B5" s="4"/>
      <c r="C5" s="5" t="s">
        <v>97</v>
      </c>
      <c r="D5" s="6" t="s">
        <v>4</v>
      </c>
      <c r="F5" s="8" t="s">
        <v>139</v>
      </c>
    </row>
    <row r="6" spans="1:6" s="1" customFormat="1" ht="15" customHeight="1" x14ac:dyDescent="0.15">
      <c r="A6" s="3"/>
      <c r="B6" s="4"/>
      <c r="C6" s="5" t="s">
        <v>98</v>
      </c>
      <c r="D6" s="6" t="s">
        <v>5</v>
      </c>
      <c r="F6" s="8" t="s">
        <v>139</v>
      </c>
    </row>
    <row r="7" spans="1:6" s="1" customFormat="1" ht="15" customHeight="1" x14ac:dyDescent="0.15">
      <c r="A7" s="3"/>
      <c r="B7" s="4"/>
      <c r="C7" s="5" t="s">
        <v>99</v>
      </c>
      <c r="D7" s="6" t="s">
        <v>6</v>
      </c>
      <c r="F7" s="8" t="s">
        <v>139</v>
      </c>
    </row>
    <row r="8" spans="1:6" s="1" customFormat="1" ht="15" customHeight="1" x14ac:dyDescent="0.15">
      <c r="A8" s="3"/>
      <c r="B8" s="4"/>
      <c r="C8" s="5" t="s">
        <v>100</v>
      </c>
      <c r="D8" s="6" t="s">
        <v>7</v>
      </c>
      <c r="F8" s="8" t="s">
        <v>139</v>
      </c>
    </row>
    <row r="9" spans="1:6" s="1" customFormat="1" ht="15" customHeight="1" x14ac:dyDescent="0.15">
      <c r="A9" s="3"/>
      <c r="B9" s="4"/>
      <c r="C9" s="5" t="s">
        <v>101</v>
      </c>
      <c r="D9" s="6" t="s">
        <v>8</v>
      </c>
      <c r="F9" s="8" t="s">
        <v>139</v>
      </c>
    </row>
    <row r="10" spans="1:6" s="1" customFormat="1" ht="15" customHeight="1" x14ac:dyDescent="0.15">
      <c r="A10" s="3"/>
      <c r="B10" s="4"/>
      <c r="C10" s="5"/>
      <c r="D10" s="6"/>
      <c r="F10" s="8"/>
    </row>
  </sheetData>
  <mergeCells count="1">
    <mergeCell ref="B1:C1"/>
  </mergeCells>
  <phoneticPr fontId="2"/>
  <printOptions horizontalCentered="1"/>
  <pageMargins left="0.78740157480314965" right="0.6692913385826772" top="0.9055118110236221" bottom="0.98425196850393704" header="0.51181102362204722" footer="0.51181102362204722"/>
  <pageSetup paperSize="9" scale="95" orientation="portrait"/>
  <headerFooter alignWithMargins="0">
    <oddFooter>&amp;C&amp;9目次 - &amp;P -</oddFooter>
  </headerFooter>
  <ignoredErrors>
    <ignoredError sqref="C10 C8:C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0D9F-65FF-45D8-A106-AF5E98ABAC89}">
  <dimension ref="B1:G31"/>
  <sheetViews>
    <sheetView tabSelected="1" zoomScale="182" zoomScaleNormal="150" workbookViewId="0">
      <selection activeCell="D17" sqref="D17"/>
    </sheetView>
  </sheetViews>
  <sheetFormatPr defaultColWidth="12.5" defaultRowHeight="13.5" x14ac:dyDescent="0.15"/>
  <cols>
    <col min="1" max="1" width="2.75" style="91" customWidth="1"/>
    <col min="2" max="2" width="7.125" style="149" customWidth="1"/>
    <col min="3" max="3" width="5.5" style="146" customWidth="1"/>
    <col min="4" max="4" width="4.5" style="147" customWidth="1"/>
    <col min="5" max="5" width="5.5" style="91" customWidth="1"/>
    <col min="6" max="6" width="5.875" style="91" customWidth="1"/>
    <col min="7" max="7" width="5.875" style="91" bestFit="1" customWidth="1"/>
    <col min="8" max="16384" width="12.5" style="91"/>
  </cols>
  <sheetData>
    <row r="1" spans="2:7" ht="25.5" x14ac:dyDescent="0.25">
      <c r="B1" s="145" t="s">
        <v>104</v>
      </c>
    </row>
    <row r="2" spans="2:7" ht="30" customHeight="1" x14ac:dyDescent="0.15">
      <c r="B2" s="148" t="s">
        <v>105</v>
      </c>
      <c r="C2" s="91"/>
    </row>
    <row r="3" spans="2:7" ht="3.75" customHeight="1" x14ac:dyDescent="0.15"/>
    <row r="4" spans="2:7" s="43" customFormat="1" ht="9" x14ac:dyDescent="0.15">
      <c r="B4" s="159" t="s">
        <v>71</v>
      </c>
      <c r="C4" s="93" t="s">
        <v>124</v>
      </c>
      <c r="D4" s="161" t="s">
        <v>106</v>
      </c>
      <c r="E4" s="162"/>
      <c r="F4" s="93" t="s">
        <v>107</v>
      </c>
      <c r="G4" s="94" t="s">
        <v>108</v>
      </c>
    </row>
    <row r="5" spans="2:7" s="43" customFormat="1" ht="9" x14ac:dyDescent="0.15">
      <c r="B5" s="160"/>
      <c r="C5" s="100" t="s">
        <v>9</v>
      </c>
      <c r="D5" s="163"/>
      <c r="E5" s="164"/>
      <c r="F5" s="100" t="s">
        <v>109</v>
      </c>
      <c r="G5" s="139" t="s">
        <v>72</v>
      </c>
    </row>
    <row r="6" spans="2:7" s="43" customFormat="1" ht="6" customHeight="1" x14ac:dyDescent="0.15">
      <c r="B6" s="150"/>
      <c r="C6" s="19"/>
      <c r="D6" s="151"/>
      <c r="E6" s="22"/>
      <c r="F6" s="51"/>
      <c r="G6" s="101"/>
    </row>
    <row r="7" spans="2:7" s="43" customFormat="1" ht="7.7" customHeight="1" x14ac:dyDescent="0.15">
      <c r="B7" s="152" t="s">
        <v>142</v>
      </c>
      <c r="C7" s="153">
        <v>92595</v>
      </c>
      <c r="D7" s="151"/>
      <c r="E7" s="142">
        <v>91995</v>
      </c>
      <c r="F7" s="77">
        <v>99.4</v>
      </c>
      <c r="G7" s="141">
        <v>98</v>
      </c>
    </row>
    <row r="8" spans="2:7" s="43" customFormat="1" ht="7.7" customHeight="1" x14ac:dyDescent="0.15">
      <c r="B8" s="152"/>
      <c r="C8" s="151"/>
      <c r="D8" s="151" t="s">
        <v>146</v>
      </c>
      <c r="E8" s="142">
        <v>1785</v>
      </c>
      <c r="F8" s="51"/>
      <c r="G8" s="141">
        <v>95</v>
      </c>
    </row>
    <row r="9" spans="2:7" s="43" customFormat="1" ht="7.7" customHeight="1" x14ac:dyDescent="0.15">
      <c r="B9" s="152"/>
      <c r="C9" s="151"/>
      <c r="D9" s="151" t="s">
        <v>147</v>
      </c>
      <c r="E9" s="142">
        <v>56113</v>
      </c>
      <c r="F9" s="51"/>
      <c r="G9" s="141">
        <v>102.1</v>
      </c>
    </row>
    <row r="10" spans="2:7" s="43" customFormat="1" ht="7.7" customHeight="1" x14ac:dyDescent="0.15">
      <c r="B10" s="152"/>
      <c r="C10" s="151"/>
      <c r="D10" s="151" t="s">
        <v>10</v>
      </c>
      <c r="E10" s="142">
        <v>34097</v>
      </c>
      <c r="F10" s="51"/>
      <c r="G10" s="141">
        <v>92.1</v>
      </c>
    </row>
    <row r="11" spans="2:7" s="43" customFormat="1" ht="7.7" customHeight="1" x14ac:dyDescent="0.15">
      <c r="B11" s="152"/>
      <c r="C11" s="151"/>
      <c r="D11" s="151"/>
      <c r="E11" s="142"/>
      <c r="F11" s="51"/>
      <c r="G11" s="101"/>
    </row>
    <row r="12" spans="2:7" s="154" customFormat="1" ht="7.7" customHeight="1" x14ac:dyDescent="0.15">
      <c r="B12" s="152" t="s">
        <v>143</v>
      </c>
      <c r="C12" s="153">
        <v>89337</v>
      </c>
      <c r="D12" s="151"/>
      <c r="E12" s="142">
        <f>+SUM(E13:E15)</f>
        <v>92165</v>
      </c>
      <c r="F12" s="77">
        <f>ROUND(E12/C12*100,1)</f>
        <v>103.2</v>
      </c>
      <c r="G12" s="141">
        <f>+ROUND(E12/E7*100,1)</f>
        <v>100.2</v>
      </c>
    </row>
    <row r="13" spans="2:7" s="154" customFormat="1" ht="7.7" customHeight="1" x14ac:dyDescent="0.15">
      <c r="B13" s="152"/>
      <c r="C13" s="151"/>
      <c r="D13" s="151" t="s">
        <v>103</v>
      </c>
      <c r="E13" s="142">
        <v>1744</v>
      </c>
      <c r="F13" s="51"/>
      <c r="G13" s="141">
        <f>+ROUND(E13/E8*100,1)</f>
        <v>97.7</v>
      </c>
    </row>
    <row r="14" spans="2:7" s="154" customFormat="1" ht="7.7" customHeight="1" x14ac:dyDescent="0.15">
      <c r="B14" s="152"/>
      <c r="C14" s="151"/>
      <c r="D14" s="151" t="s">
        <v>102</v>
      </c>
      <c r="E14" s="142">
        <v>55967</v>
      </c>
      <c r="F14" s="51"/>
      <c r="G14" s="141">
        <f>+ROUND(E14/E9*100,1)</f>
        <v>99.7</v>
      </c>
    </row>
    <row r="15" spans="2:7" s="154" customFormat="1" ht="7.7" customHeight="1" x14ac:dyDescent="0.15">
      <c r="B15" s="152"/>
      <c r="C15" s="151"/>
      <c r="D15" s="151" t="s">
        <v>10</v>
      </c>
      <c r="E15" s="142">
        <v>34454</v>
      </c>
      <c r="F15" s="51"/>
      <c r="G15" s="101">
        <f>+ROUND(E15/E10*100,1)</f>
        <v>101</v>
      </c>
    </row>
    <row r="16" spans="2:7" s="43" customFormat="1" ht="7.7" customHeight="1" x14ac:dyDescent="0.15">
      <c r="B16" s="152"/>
      <c r="C16" s="52"/>
      <c r="D16" s="151"/>
      <c r="E16" s="51"/>
      <c r="F16" s="51"/>
      <c r="G16" s="101"/>
    </row>
    <row r="17" spans="2:7" s="154" customFormat="1" ht="7.7" customHeight="1" x14ac:dyDescent="0.15">
      <c r="B17" s="152" t="s">
        <v>148</v>
      </c>
      <c r="C17" s="153">
        <v>91343</v>
      </c>
      <c r="D17" s="151"/>
      <c r="E17" s="142">
        <f>+SUM(E18:E20)</f>
        <v>88978</v>
      </c>
      <c r="F17" s="77">
        <f>ROUND(E17/C17*100,1)</f>
        <v>97.4</v>
      </c>
      <c r="G17" s="141">
        <f>+ROUND(E17/E12*100,1)</f>
        <v>96.5</v>
      </c>
    </row>
    <row r="18" spans="2:7" s="154" customFormat="1" ht="7.7" customHeight="1" x14ac:dyDescent="0.15">
      <c r="B18" s="152"/>
      <c r="C18" s="151"/>
      <c r="D18" s="151" t="s">
        <v>103</v>
      </c>
      <c r="E18" s="142">
        <v>1611</v>
      </c>
      <c r="F18" s="51"/>
      <c r="G18" s="141">
        <f>+ROUND(E18/E13*100,1)</f>
        <v>92.4</v>
      </c>
    </row>
    <row r="19" spans="2:7" s="154" customFormat="1" ht="7.7" customHeight="1" x14ac:dyDescent="0.15">
      <c r="B19" s="152"/>
      <c r="C19" s="151"/>
      <c r="D19" s="151" t="s">
        <v>102</v>
      </c>
      <c r="E19" s="142">
        <v>55544</v>
      </c>
      <c r="F19" s="51"/>
      <c r="G19" s="141">
        <f>+ROUND(E19/E14*100,1)</f>
        <v>99.2</v>
      </c>
    </row>
    <row r="20" spans="2:7" s="154" customFormat="1" ht="7.7" customHeight="1" x14ac:dyDescent="0.15">
      <c r="B20" s="152"/>
      <c r="C20" s="151"/>
      <c r="D20" s="151" t="s">
        <v>10</v>
      </c>
      <c r="E20" s="142">
        <v>31823</v>
      </c>
      <c r="F20" s="51"/>
      <c r="G20" s="141">
        <f>+ROUND(E20/E15*100,1)</f>
        <v>92.4</v>
      </c>
    </row>
    <row r="21" spans="2:7" s="43" customFormat="1" ht="7.7" customHeight="1" x14ac:dyDescent="0.15">
      <c r="B21" s="155"/>
      <c r="C21" s="110"/>
      <c r="D21" s="156"/>
      <c r="E21" s="58"/>
      <c r="F21" s="58"/>
      <c r="G21" s="157"/>
    </row>
    <row r="22" spans="2:7" s="43" customFormat="1" ht="13.5" customHeight="1" x14ac:dyDescent="0.15">
      <c r="B22" s="40" t="s">
        <v>140</v>
      </c>
      <c r="C22" s="146"/>
      <c r="D22" s="147"/>
      <c r="E22" s="91"/>
      <c r="F22" s="91"/>
      <c r="G22" s="91"/>
    </row>
    <row r="23" spans="2:7" s="43" customFormat="1" ht="4.5" customHeight="1" x14ac:dyDescent="0.15">
      <c r="B23" s="149"/>
      <c r="C23" s="146"/>
      <c r="D23" s="147"/>
      <c r="E23" s="91"/>
      <c r="F23" s="91"/>
      <c r="G23" s="91"/>
    </row>
    <row r="24" spans="2:7" s="43" customFormat="1" ht="13.5" customHeight="1" x14ac:dyDescent="0.15">
      <c r="B24" s="149"/>
      <c r="C24" s="146"/>
      <c r="D24" s="147"/>
      <c r="E24" s="91"/>
      <c r="F24" s="91"/>
      <c r="G24" s="91"/>
    </row>
    <row r="25" spans="2:7" s="43" customFormat="1" ht="13.5" customHeight="1" x14ac:dyDescent="0.15">
      <c r="B25" s="149"/>
      <c r="C25" s="146"/>
      <c r="D25" s="147"/>
      <c r="E25" s="91"/>
      <c r="F25" s="91"/>
      <c r="G25" s="91"/>
    </row>
    <row r="26" spans="2:7" s="43" customFormat="1" ht="13.5" customHeight="1" x14ac:dyDescent="0.15">
      <c r="B26" s="149"/>
      <c r="C26" s="146"/>
      <c r="D26" s="147"/>
      <c r="E26" s="91"/>
      <c r="F26" s="91"/>
      <c r="G26" s="91"/>
    </row>
    <row r="27" spans="2:7" s="43" customFormat="1" ht="13.5" customHeight="1" x14ac:dyDescent="0.15">
      <c r="B27" s="149"/>
      <c r="C27" s="146"/>
      <c r="D27" s="147"/>
      <c r="E27" s="91"/>
      <c r="F27" s="91"/>
      <c r="G27" s="91"/>
    </row>
    <row r="28" spans="2:7" s="43" customFormat="1" ht="13.5" customHeight="1" x14ac:dyDescent="0.15">
      <c r="B28" s="149"/>
      <c r="C28" s="146"/>
      <c r="D28" s="147"/>
      <c r="E28" s="91"/>
      <c r="F28" s="91"/>
      <c r="G28" s="91"/>
    </row>
    <row r="29" spans="2:7" s="43" customFormat="1" ht="13.5" customHeight="1" x14ac:dyDescent="0.15">
      <c r="B29" s="149"/>
      <c r="C29" s="146"/>
      <c r="D29" s="147"/>
      <c r="E29" s="91"/>
      <c r="F29" s="91"/>
      <c r="G29" s="91"/>
    </row>
    <row r="30" spans="2:7" s="43" customFormat="1" ht="13.5" customHeight="1" x14ac:dyDescent="0.15">
      <c r="B30" s="149"/>
      <c r="C30" s="146"/>
      <c r="D30" s="147"/>
      <c r="E30" s="91"/>
      <c r="F30" s="91"/>
      <c r="G30" s="91"/>
    </row>
    <row r="31" spans="2:7" s="43" customFormat="1" ht="6" customHeight="1" x14ac:dyDescent="0.15">
      <c r="B31" s="149"/>
      <c r="C31" s="146"/>
      <c r="D31" s="147"/>
      <c r="E31" s="91"/>
      <c r="F31" s="91"/>
      <c r="G31" s="91"/>
    </row>
  </sheetData>
  <mergeCells count="2">
    <mergeCell ref="B4:B5"/>
    <mergeCell ref="D4:E5"/>
  </mergeCells>
  <phoneticPr fontId="2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E54B-6ADB-4F27-921F-7263BB5B83AD}">
  <dimension ref="A2:J31"/>
  <sheetViews>
    <sheetView zoomScale="160" zoomScaleNormal="160" workbookViewId="0">
      <selection sqref="A1:XFD1048576"/>
    </sheetView>
  </sheetViews>
  <sheetFormatPr defaultColWidth="12.5" defaultRowHeight="13.5" x14ac:dyDescent="0.15"/>
  <cols>
    <col min="1" max="1" width="9.5" style="91" customWidth="1"/>
    <col min="2" max="10" width="5.25" style="91" customWidth="1"/>
    <col min="11" max="16384" width="12.5" style="91"/>
  </cols>
  <sheetData>
    <row r="2" spans="1:10" ht="30" customHeight="1" x14ac:dyDescent="0.15">
      <c r="A2" s="42" t="s">
        <v>112</v>
      </c>
    </row>
    <row r="3" spans="1:10" ht="3.75" customHeight="1" x14ac:dyDescent="0.15">
      <c r="A3" s="138"/>
    </row>
    <row r="4" spans="1:10" s="43" customFormat="1" ht="9" x14ac:dyDescent="0.15">
      <c r="A4" s="92"/>
      <c r="B4" s="165" t="s">
        <v>142</v>
      </c>
      <c r="C4" s="166"/>
      <c r="D4" s="166"/>
      <c r="E4" s="165" t="s">
        <v>143</v>
      </c>
      <c r="F4" s="166"/>
      <c r="G4" s="166"/>
      <c r="H4" s="165" t="s">
        <v>148</v>
      </c>
      <c r="I4" s="166"/>
      <c r="J4" s="166"/>
    </row>
    <row r="5" spans="1:10" s="43" customFormat="1" ht="9" x14ac:dyDescent="0.15">
      <c r="A5" s="99"/>
      <c r="B5" s="167" t="s">
        <v>82</v>
      </c>
      <c r="C5" s="168"/>
      <c r="D5" s="139" t="s">
        <v>11</v>
      </c>
      <c r="E5" s="167" t="s">
        <v>82</v>
      </c>
      <c r="F5" s="168"/>
      <c r="G5" s="139" t="s">
        <v>11</v>
      </c>
      <c r="H5" s="167" t="s">
        <v>82</v>
      </c>
      <c r="I5" s="168"/>
      <c r="J5" s="139" t="s">
        <v>11</v>
      </c>
    </row>
    <row r="6" spans="1:10" s="43" customFormat="1" ht="6" customHeight="1" x14ac:dyDescent="0.15">
      <c r="A6" s="46"/>
      <c r="B6" s="47"/>
      <c r="C6" s="47"/>
      <c r="D6" s="140"/>
      <c r="E6" s="47"/>
      <c r="F6" s="47"/>
      <c r="G6" s="140"/>
      <c r="H6" s="47"/>
      <c r="I6" s="47"/>
      <c r="J6" s="140"/>
    </row>
    <row r="7" spans="1:10" s="43" customFormat="1" ht="9" x14ac:dyDescent="0.15">
      <c r="A7" s="61" t="s">
        <v>12</v>
      </c>
      <c r="B7" s="52" t="s">
        <v>90</v>
      </c>
      <c r="C7" s="22">
        <f>+SUM(C8:C10)</f>
        <v>91995</v>
      </c>
      <c r="D7" s="141">
        <v>100</v>
      </c>
      <c r="E7" s="52" t="s">
        <v>90</v>
      </c>
      <c r="F7" s="22">
        <f>+SUM(F8:F10)</f>
        <v>92165</v>
      </c>
      <c r="G7" s="141">
        <v>100</v>
      </c>
      <c r="H7" s="52" t="s">
        <v>90</v>
      </c>
      <c r="I7" s="22">
        <f>+SUM(I8:I10)</f>
        <v>88978</v>
      </c>
      <c r="J7" s="141">
        <v>100</v>
      </c>
    </row>
    <row r="8" spans="1:10" s="43" customFormat="1" ht="9" x14ac:dyDescent="0.15">
      <c r="A8" s="61"/>
      <c r="B8" s="52" t="s">
        <v>103</v>
      </c>
      <c r="C8" s="142">
        <v>1785</v>
      </c>
      <c r="D8" s="141">
        <f>+ROUND(C8/C7*100,1)</f>
        <v>1.9</v>
      </c>
      <c r="E8" s="52" t="s">
        <v>103</v>
      </c>
      <c r="F8" s="142">
        <f>SUM(F14,F20)</f>
        <v>1744</v>
      </c>
      <c r="G8" s="141">
        <f>+ROUND(F8/F7*100,1)</f>
        <v>1.9</v>
      </c>
      <c r="H8" s="52" t="s">
        <v>103</v>
      </c>
      <c r="I8" s="142">
        <f>SUM(I14,I20)</f>
        <v>1611</v>
      </c>
      <c r="J8" s="141">
        <f>+ROUND(I8/I7*100,1)</f>
        <v>1.8</v>
      </c>
    </row>
    <row r="9" spans="1:10" s="43" customFormat="1" ht="9" x14ac:dyDescent="0.15">
      <c r="A9" s="61"/>
      <c r="B9" s="52" t="s">
        <v>102</v>
      </c>
      <c r="C9" s="142">
        <v>56113</v>
      </c>
      <c r="D9" s="141">
        <f>+ROUND(C9/C7*100,1)</f>
        <v>61</v>
      </c>
      <c r="E9" s="52" t="s">
        <v>102</v>
      </c>
      <c r="F9" s="142">
        <f t="shared" ref="F9:F10" si="0">SUM(F15,F21)</f>
        <v>55967</v>
      </c>
      <c r="G9" s="141">
        <f>+ROUND(F9/F7*100,1)</f>
        <v>60.7</v>
      </c>
      <c r="H9" s="52" t="s">
        <v>102</v>
      </c>
      <c r="I9" s="142">
        <f t="shared" ref="I9:I10" si="1">SUM(I15,I21)</f>
        <v>55544</v>
      </c>
      <c r="J9" s="141">
        <f>+ROUND(I9/I7*100,1)</f>
        <v>62.4</v>
      </c>
    </row>
    <row r="10" spans="1:10" s="43" customFormat="1" ht="9" x14ac:dyDescent="0.15">
      <c r="A10" s="61"/>
      <c r="B10" s="52" t="s">
        <v>10</v>
      </c>
      <c r="C10" s="142">
        <v>34097</v>
      </c>
      <c r="D10" s="141">
        <f>+ROUND(C10/C7*100,1)</f>
        <v>37.1</v>
      </c>
      <c r="E10" s="52" t="s">
        <v>10</v>
      </c>
      <c r="F10" s="142">
        <f t="shared" si="0"/>
        <v>34454</v>
      </c>
      <c r="G10" s="141">
        <f>+ROUND(F10/F7*100,1)</f>
        <v>37.4</v>
      </c>
      <c r="H10" s="52" t="s">
        <v>10</v>
      </c>
      <c r="I10" s="142">
        <f t="shared" si="1"/>
        <v>31823</v>
      </c>
      <c r="J10" s="141">
        <f>+ROUND(I10/I7*100,1)</f>
        <v>35.799999999999997</v>
      </c>
    </row>
    <row r="11" spans="1:10" s="43" customFormat="1" ht="9" x14ac:dyDescent="0.15">
      <c r="A11" s="61"/>
      <c r="B11" s="52"/>
      <c r="C11" s="22"/>
      <c r="D11" s="141"/>
      <c r="E11" s="52"/>
      <c r="F11" s="22"/>
      <c r="G11" s="141"/>
      <c r="H11" s="52"/>
      <c r="I11" s="22"/>
      <c r="J11" s="141"/>
    </row>
    <row r="12" spans="1:10" s="43" customFormat="1" ht="9" x14ac:dyDescent="0.15">
      <c r="A12" s="61"/>
      <c r="B12" s="52"/>
      <c r="C12" s="22"/>
      <c r="D12" s="141"/>
      <c r="E12" s="52"/>
      <c r="F12" s="22"/>
      <c r="G12" s="141"/>
      <c r="H12" s="52"/>
      <c r="I12" s="22"/>
      <c r="J12" s="141"/>
    </row>
    <row r="13" spans="1:10" s="43" customFormat="1" ht="8.1" customHeight="1" x14ac:dyDescent="0.15">
      <c r="A13" s="61" t="s">
        <v>13</v>
      </c>
      <c r="B13" s="52" t="s">
        <v>90</v>
      </c>
      <c r="C13" s="22">
        <f>+SUM(C14:C16)</f>
        <v>64785</v>
      </c>
      <c r="D13" s="141">
        <f>+ROUND(C13/C7*100,1)</f>
        <v>70.400000000000006</v>
      </c>
      <c r="E13" s="52" t="s">
        <v>90</v>
      </c>
      <c r="F13" s="22">
        <f>+SUM(F14:F16)</f>
        <v>65069</v>
      </c>
      <c r="G13" s="141">
        <f>+ROUND(F13/F7*100,1)</f>
        <v>70.599999999999994</v>
      </c>
      <c r="H13" s="52" t="s">
        <v>90</v>
      </c>
      <c r="I13" s="22">
        <f>+SUM(I14:I16)</f>
        <v>62267</v>
      </c>
      <c r="J13" s="141">
        <f>+ROUND(I13/I7*100,1)</f>
        <v>70</v>
      </c>
    </row>
    <row r="14" spans="1:10" s="43" customFormat="1" ht="8.1" customHeight="1" x14ac:dyDescent="0.15">
      <c r="A14" s="61" t="s">
        <v>14</v>
      </c>
      <c r="B14" s="52" t="s">
        <v>103</v>
      </c>
      <c r="C14" s="22">
        <v>1352</v>
      </c>
      <c r="D14" s="141">
        <f>+ROUND(C14/C7*100,1)</f>
        <v>1.5</v>
      </c>
      <c r="E14" s="52" t="s">
        <v>103</v>
      </c>
      <c r="F14" s="22">
        <v>1285</v>
      </c>
      <c r="G14" s="141">
        <f>+ROUND(F14/F7*100,1)</f>
        <v>1.4</v>
      </c>
      <c r="H14" s="52" t="s">
        <v>103</v>
      </c>
      <c r="I14" s="22">
        <v>1089</v>
      </c>
      <c r="J14" s="141">
        <f>+ROUND(I14/I7*100,1)</f>
        <v>1.2</v>
      </c>
    </row>
    <row r="15" spans="1:10" s="43" customFormat="1" ht="8.1" customHeight="1" x14ac:dyDescent="0.15">
      <c r="A15" s="61"/>
      <c r="B15" s="52" t="s">
        <v>102</v>
      </c>
      <c r="C15" s="22">
        <v>29336</v>
      </c>
      <c r="D15" s="141">
        <f>+ROUND(C15/C7*100,1)+0.1</f>
        <v>32</v>
      </c>
      <c r="E15" s="52" t="s">
        <v>102</v>
      </c>
      <c r="F15" s="22">
        <v>29330</v>
      </c>
      <c r="G15" s="141">
        <f>+ROUND(F15/F7*100,1)</f>
        <v>31.8</v>
      </c>
      <c r="H15" s="52" t="s">
        <v>102</v>
      </c>
      <c r="I15" s="22">
        <v>29355</v>
      </c>
      <c r="J15" s="141">
        <f>+ROUND(I15/I7*100,1)</f>
        <v>33</v>
      </c>
    </row>
    <row r="16" spans="1:10" s="43" customFormat="1" ht="8.1" customHeight="1" x14ac:dyDescent="0.15">
      <c r="A16" s="61"/>
      <c r="B16" s="52" t="s">
        <v>10</v>
      </c>
      <c r="C16" s="142">
        <v>34097</v>
      </c>
      <c r="D16" s="141">
        <f>+ROUND(C16/C7*100,1)</f>
        <v>37.1</v>
      </c>
      <c r="E16" s="52" t="s">
        <v>10</v>
      </c>
      <c r="F16" s="142">
        <v>34454</v>
      </c>
      <c r="G16" s="141">
        <f>+ROUND(F16/F7*100,1)</f>
        <v>37.4</v>
      </c>
      <c r="H16" s="52" t="s">
        <v>10</v>
      </c>
      <c r="I16" s="142">
        <v>31823</v>
      </c>
      <c r="J16" s="141">
        <f>+ROUND(I16/I7*100,1)</f>
        <v>35.799999999999997</v>
      </c>
    </row>
    <row r="17" spans="1:10" s="43" customFormat="1" ht="9" x14ac:dyDescent="0.15">
      <c r="A17" s="61"/>
      <c r="B17" s="52"/>
      <c r="C17" s="22"/>
      <c r="D17" s="141"/>
      <c r="E17" s="52"/>
      <c r="F17" s="22"/>
      <c r="G17" s="141"/>
      <c r="H17" s="52"/>
      <c r="I17" s="22"/>
      <c r="J17" s="141"/>
    </row>
    <row r="18" spans="1:10" s="43" customFormat="1" ht="9" x14ac:dyDescent="0.15">
      <c r="A18" s="61"/>
      <c r="B18" s="52"/>
      <c r="C18" s="22"/>
      <c r="D18" s="141"/>
      <c r="E18" s="52"/>
      <c r="F18" s="22"/>
      <c r="G18" s="141"/>
      <c r="H18" s="52"/>
      <c r="I18" s="22"/>
      <c r="J18" s="141"/>
    </row>
    <row r="19" spans="1:10" s="43" customFormat="1" ht="9" x14ac:dyDescent="0.15">
      <c r="A19" s="61" t="s">
        <v>15</v>
      </c>
      <c r="B19" s="52" t="s">
        <v>90</v>
      </c>
      <c r="C19" s="22">
        <f>+SUM(C20:C22)</f>
        <v>27210</v>
      </c>
      <c r="D19" s="141">
        <f>+ROUND(C19/C7*100,1)</f>
        <v>29.6</v>
      </c>
      <c r="E19" s="52" t="s">
        <v>90</v>
      </c>
      <c r="F19" s="22">
        <f>+SUM(F20:F22)</f>
        <v>27096</v>
      </c>
      <c r="G19" s="141">
        <f>+ROUND(F19/F7*100,1)</f>
        <v>29.4</v>
      </c>
      <c r="H19" s="52" t="s">
        <v>90</v>
      </c>
      <c r="I19" s="22">
        <f>+SUM(I20:I22)</f>
        <v>26711</v>
      </c>
      <c r="J19" s="141">
        <f>+ROUND(I19/I7*100,1)</f>
        <v>30</v>
      </c>
    </row>
    <row r="20" spans="1:10" s="43" customFormat="1" ht="9" x14ac:dyDescent="0.15">
      <c r="A20" s="61" t="s">
        <v>110</v>
      </c>
      <c r="B20" s="52" t="s">
        <v>103</v>
      </c>
      <c r="C20" s="22">
        <v>433</v>
      </c>
      <c r="D20" s="141">
        <f>+ROUND(C20/C7*100,1)</f>
        <v>0.5</v>
      </c>
      <c r="E20" s="52" t="s">
        <v>103</v>
      </c>
      <c r="F20" s="22">
        <v>459</v>
      </c>
      <c r="G20" s="141">
        <f>+ROUND(F20/F7*100,1)</f>
        <v>0.5</v>
      </c>
      <c r="H20" s="52" t="s">
        <v>103</v>
      </c>
      <c r="I20" s="22">
        <v>522</v>
      </c>
      <c r="J20" s="141">
        <f>+ROUND(I20/I7*100,1)</f>
        <v>0.6</v>
      </c>
    </row>
    <row r="21" spans="1:10" s="43" customFormat="1" ht="7.7" customHeight="1" x14ac:dyDescent="0.15">
      <c r="A21" s="61" t="s">
        <v>110</v>
      </c>
      <c r="B21" s="52" t="s">
        <v>102</v>
      </c>
      <c r="C21" s="22">
        <v>26777</v>
      </c>
      <c r="D21" s="141">
        <f>+ROUND(C21/C7*100,1)</f>
        <v>29.1</v>
      </c>
      <c r="E21" s="52" t="s">
        <v>102</v>
      </c>
      <c r="F21" s="22">
        <v>26637</v>
      </c>
      <c r="G21" s="141">
        <f>+ROUND(F21/F7*100,1)</f>
        <v>28.9</v>
      </c>
      <c r="H21" s="52" t="s">
        <v>102</v>
      </c>
      <c r="I21" s="22">
        <v>26189</v>
      </c>
      <c r="J21" s="141">
        <f>+ROUND(I21/I7*100,1)</f>
        <v>29.4</v>
      </c>
    </row>
    <row r="22" spans="1:10" s="43" customFormat="1" ht="7.7" customHeight="1" x14ac:dyDescent="0.15">
      <c r="A22" s="61"/>
      <c r="B22" s="52" t="s">
        <v>10</v>
      </c>
      <c r="C22" s="20" t="s">
        <v>111</v>
      </c>
      <c r="D22" s="143" t="s">
        <v>111</v>
      </c>
      <c r="E22" s="52" t="s">
        <v>10</v>
      </c>
      <c r="F22" s="20" t="s">
        <v>111</v>
      </c>
      <c r="G22" s="143" t="s">
        <v>111</v>
      </c>
      <c r="H22" s="52" t="s">
        <v>10</v>
      </c>
      <c r="I22" s="20" t="s">
        <v>111</v>
      </c>
      <c r="J22" s="143" t="s">
        <v>111</v>
      </c>
    </row>
    <row r="23" spans="1:10" s="43" customFormat="1" ht="4.5" customHeight="1" x14ac:dyDescent="0.15">
      <c r="A23" s="57"/>
      <c r="B23" s="58"/>
      <c r="C23" s="58"/>
      <c r="D23" s="144"/>
      <c r="E23" s="58"/>
      <c r="F23" s="58"/>
      <c r="G23" s="144"/>
      <c r="H23" s="58"/>
      <c r="I23" s="58"/>
      <c r="J23" s="144"/>
    </row>
    <row r="24" spans="1:10" s="43" customFormat="1" ht="13.5" customHeight="1" x14ac:dyDescent="0.15">
      <c r="A24" s="40" t="s">
        <v>140</v>
      </c>
    </row>
    <row r="25" spans="1:10" s="43" customFormat="1" ht="13.5" customHeight="1" x14ac:dyDescent="0.15"/>
    <row r="26" spans="1:10" s="43" customFormat="1" ht="13.5" customHeight="1" x14ac:dyDescent="0.15"/>
    <row r="27" spans="1:10" s="43" customFormat="1" ht="13.5" customHeight="1" x14ac:dyDescent="0.15"/>
    <row r="28" spans="1:10" s="43" customFormat="1" ht="13.5" customHeight="1" x14ac:dyDescent="0.15"/>
    <row r="29" spans="1:10" s="43" customFormat="1" ht="13.5" customHeight="1" x14ac:dyDescent="0.15"/>
    <row r="30" spans="1:10" s="43" customFormat="1" ht="13.5" customHeight="1" x14ac:dyDescent="0.15"/>
    <row r="31" spans="1:10" s="43" customFormat="1" ht="6" customHeight="1" x14ac:dyDescent="0.15"/>
  </sheetData>
  <mergeCells count="6">
    <mergeCell ref="H4:J4"/>
    <mergeCell ref="H5:I5"/>
    <mergeCell ref="B4:D4"/>
    <mergeCell ref="E4:G4"/>
    <mergeCell ref="B5:C5"/>
    <mergeCell ref="E5:F5"/>
  </mergeCells>
  <phoneticPr fontId="2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4A10-F735-4447-8ACD-C488644E619F}">
  <dimension ref="A1:AR66"/>
  <sheetViews>
    <sheetView zoomScale="130" zoomScaleNormal="130" workbookViewId="0">
      <selection sqref="A1:XFD1048576"/>
    </sheetView>
  </sheetViews>
  <sheetFormatPr defaultColWidth="12.5" defaultRowHeight="13.5" x14ac:dyDescent="0.15"/>
  <cols>
    <col min="1" max="1" width="5.5" style="113" customWidth="1"/>
    <col min="2" max="2" width="6" style="113" bestFit="1" customWidth="1"/>
    <col min="3" max="3" width="5.875" style="113" bestFit="1" customWidth="1"/>
    <col min="4" max="4" width="2.25" style="113" customWidth="1"/>
    <col min="5" max="5" width="5.125" style="113" customWidth="1"/>
    <col min="6" max="6" width="4" style="113" customWidth="1"/>
    <col min="7" max="7" width="0.875" style="113" customWidth="1"/>
    <col min="8" max="8" width="6.25" style="113" customWidth="1"/>
    <col min="9" max="10" width="0.875" style="113" customWidth="1"/>
    <col min="11" max="11" width="4.5" style="113" bestFit="1" customWidth="1"/>
    <col min="12" max="12" width="1.5" style="113" customWidth="1"/>
    <col min="13" max="13" width="2.25" style="113" customWidth="1"/>
    <col min="14" max="14" width="0.875" style="113" customWidth="1"/>
    <col min="15" max="15" width="4.5" style="113" customWidth="1"/>
    <col min="16" max="16" width="0.875" style="113" customWidth="1"/>
    <col min="17" max="17" width="2.25" style="113" customWidth="1"/>
    <col min="18" max="18" width="0.875" style="113" customWidth="1"/>
    <col min="19" max="19" width="4.5" style="113" customWidth="1"/>
    <col min="20" max="21" width="0.875" style="113" customWidth="1"/>
    <col min="22" max="22" width="4.5" style="113" customWidth="1"/>
    <col min="23" max="23" width="0.875" style="113" customWidth="1"/>
    <col min="24" max="24" width="2.25" style="113" customWidth="1"/>
    <col min="25" max="25" width="0.875" style="113" customWidth="1"/>
    <col min="26" max="26" width="4.5" style="113" customWidth="1"/>
    <col min="27" max="27" width="0.875" style="113" customWidth="1"/>
    <col min="28" max="28" width="2.75" style="113" customWidth="1"/>
    <col min="29" max="29" width="0.875" style="113" customWidth="1"/>
    <col min="30" max="30" width="5.5" style="113" bestFit="1" customWidth="1"/>
    <col min="31" max="32" width="0.875" style="113" customWidth="1"/>
    <col min="33" max="33" width="4.5" style="113" customWidth="1"/>
    <col min="34" max="34" width="0.875" style="113" customWidth="1"/>
    <col min="35" max="35" width="2.5" style="113" customWidth="1"/>
    <col min="36" max="36" width="0.875" style="113" customWidth="1"/>
    <col min="37" max="37" width="5.125" style="113" customWidth="1"/>
    <col min="38" max="38" width="0.875" style="113" customWidth="1"/>
    <col min="39" max="39" width="2.25" style="113" customWidth="1"/>
    <col min="40" max="40" width="5.125" style="113" customWidth="1"/>
    <col min="41" max="41" width="5.5" style="113" bestFit="1" customWidth="1"/>
    <col min="42" max="42" width="2.5" style="113" customWidth="1"/>
    <col min="43" max="43" width="4.75" style="113" customWidth="1"/>
    <col min="44" max="44" width="2.5" style="113" customWidth="1"/>
    <col min="45" max="45" width="1.75" style="113" customWidth="1"/>
    <col min="46" max="16384" width="12.5" style="113"/>
  </cols>
  <sheetData>
    <row r="1" spans="1:44" ht="30" customHeight="1" x14ac:dyDescent="0.15">
      <c r="A1" s="112" t="s">
        <v>125</v>
      </c>
    </row>
    <row r="2" spans="1:44" s="114" customFormat="1" ht="3.75" customHeight="1" x14ac:dyDescent="0.15"/>
    <row r="3" spans="1:44" s="115" customFormat="1" ht="17.25" customHeight="1" x14ac:dyDescent="0.15">
      <c r="A3" s="175" t="s">
        <v>71</v>
      </c>
      <c r="B3" s="178" t="s">
        <v>126</v>
      </c>
      <c r="C3" s="179"/>
      <c r="D3" s="179"/>
      <c r="E3" s="179"/>
      <c r="F3" s="180"/>
      <c r="G3" s="174" t="s">
        <v>127</v>
      </c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 t="s">
        <v>128</v>
      </c>
      <c r="AO3" s="174"/>
      <c r="AP3" s="174"/>
      <c r="AQ3" s="174"/>
      <c r="AR3" s="178"/>
    </row>
    <row r="4" spans="1:44" s="115" customFormat="1" ht="18.75" customHeight="1" x14ac:dyDescent="0.15">
      <c r="A4" s="176"/>
      <c r="B4" s="173" t="s">
        <v>73</v>
      </c>
      <c r="C4" s="170" t="s">
        <v>74</v>
      </c>
      <c r="D4" s="170"/>
      <c r="E4" s="170" t="s">
        <v>75</v>
      </c>
      <c r="F4" s="170"/>
      <c r="G4" s="174" t="s">
        <v>16</v>
      </c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 t="s">
        <v>129</v>
      </c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 t="s">
        <v>130</v>
      </c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69" t="s">
        <v>73</v>
      </c>
      <c r="AO4" s="174" t="s">
        <v>74</v>
      </c>
      <c r="AP4" s="174"/>
      <c r="AQ4" s="174" t="s">
        <v>75</v>
      </c>
      <c r="AR4" s="178"/>
    </row>
    <row r="5" spans="1:44" s="115" customFormat="1" ht="19.5" customHeight="1" x14ac:dyDescent="0.15">
      <c r="A5" s="176"/>
      <c r="B5" s="173"/>
      <c r="C5" s="169" t="s">
        <v>76</v>
      </c>
      <c r="D5" s="169" t="s">
        <v>77</v>
      </c>
      <c r="E5" s="169" t="s">
        <v>76</v>
      </c>
      <c r="F5" s="169" t="s">
        <v>77</v>
      </c>
      <c r="G5" s="173" t="s">
        <v>73</v>
      </c>
      <c r="H5" s="173"/>
      <c r="I5" s="173"/>
      <c r="J5" s="174" t="s">
        <v>74</v>
      </c>
      <c r="K5" s="174"/>
      <c r="L5" s="174"/>
      <c r="M5" s="174"/>
      <c r="N5" s="174" t="s">
        <v>75</v>
      </c>
      <c r="O5" s="174"/>
      <c r="P5" s="174"/>
      <c r="Q5" s="174"/>
      <c r="R5" s="173" t="s">
        <v>73</v>
      </c>
      <c r="S5" s="173"/>
      <c r="T5" s="173"/>
      <c r="U5" s="174" t="s">
        <v>74</v>
      </c>
      <c r="V5" s="174"/>
      <c r="W5" s="174"/>
      <c r="X5" s="174"/>
      <c r="Y5" s="174" t="s">
        <v>75</v>
      </c>
      <c r="Z5" s="174"/>
      <c r="AA5" s="174"/>
      <c r="AB5" s="174"/>
      <c r="AC5" s="173" t="s">
        <v>73</v>
      </c>
      <c r="AD5" s="173"/>
      <c r="AE5" s="173"/>
      <c r="AF5" s="174" t="s">
        <v>74</v>
      </c>
      <c r="AG5" s="174"/>
      <c r="AH5" s="174"/>
      <c r="AI5" s="174"/>
      <c r="AJ5" s="174" t="s">
        <v>75</v>
      </c>
      <c r="AK5" s="174"/>
      <c r="AL5" s="174"/>
      <c r="AM5" s="174"/>
      <c r="AN5" s="173"/>
      <c r="AO5" s="169" t="s">
        <v>76</v>
      </c>
      <c r="AP5" s="169" t="s">
        <v>77</v>
      </c>
      <c r="AQ5" s="169" t="s">
        <v>76</v>
      </c>
      <c r="AR5" s="171" t="s">
        <v>77</v>
      </c>
    </row>
    <row r="6" spans="1:44" s="115" customFormat="1" ht="20.25" customHeight="1" x14ac:dyDescent="0.15">
      <c r="A6" s="177"/>
      <c r="B6" s="170"/>
      <c r="C6" s="170"/>
      <c r="D6" s="170"/>
      <c r="E6" s="170"/>
      <c r="F6" s="170"/>
      <c r="G6" s="170"/>
      <c r="H6" s="170"/>
      <c r="I6" s="170"/>
      <c r="J6" s="170" t="s">
        <v>76</v>
      </c>
      <c r="K6" s="170"/>
      <c r="L6" s="170"/>
      <c r="M6" s="116" t="s">
        <v>77</v>
      </c>
      <c r="N6" s="170" t="s">
        <v>76</v>
      </c>
      <c r="O6" s="170"/>
      <c r="P6" s="170"/>
      <c r="Q6" s="116" t="s">
        <v>77</v>
      </c>
      <c r="R6" s="170"/>
      <c r="S6" s="170"/>
      <c r="T6" s="170"/>
      <c r="U6" s="170" t="s">
        <v>76</v>
      </c>
      <c r="V6" s="170"/>
      <c r="W6" s="170"/>
      <c r="X6" s="116" t="s">
        <v>77</v>
      </c>
      <c r="Y6" s="170" t="s">
        <v>76</v>
      </c>
      <c r="Z6" s="170"/>
      <c r="AA6" s="170"/>
      <c r="AB6" s="116" t="s">
        <v>77</v>
      </c>
      <c r="AC6" s="170"/>
      <c r="AD6" s="170"/>
      <c r="AE6" s="170"/>
      <c r="AF6" s="170" t="s">
        <v>76</v>
      </c>
      <c r="AG6" s="170"/>
      <c r="AH6" s="170"/>
      <c r="AI6" s="116" t="s">
        <v>77</v>
      </c>
      <c r="AJ6" s="170" t="s">
        <v>76</v>
      </c>
      <c r="AK6" s="170"/>
      <c r="AL6" s="170"/>
      <c r="AM6" s="116" t="s">
        <v>77</v>
      </c>
      <c r="AN6" s="170"/>
      <c r="AO6" s="170"/>
      <c r="AP6" s="170"/>
      <c r="AQ6" s="170"/>
      <c r="AR6" s="172"/>
    </row>
    <row r="7" spans="1:44" s="120" customFormat="1" ht="12" customHeight="1" x14ac:dyDescent="0.15">
      <c r="A7" s="117"/>
      <c r="B7" s="27"/>
      <c r="C7" s="27"/>
      <c r="D7" s="118"/>
      <c r="E7" s="27"/>
      <c r="F7" s="118"/>
      <c r="G7" s="119"/>
      <c r="I7" s="121"/>
      <c r="J7" s="119"/>
      <c r="L7" s="121"/>
      <c r="M7" s="118"/>
      <c r="N7" s="119"/>
      <c r="P7" s="121"/>
      <c r="Q7" s="118"/>
      <c r="R7" s="119"/>
      <c r="T7" s="121"/>
      <c r="U7" s="119"/>
      <c r="W7" s="121"/>
      <c r="X7" s="118"/>
      <c r="Y7" s="119"/>
      <c r="AB7" s="118"/>
      <c r="AC7" s="119"/>
      <c r="AE7" s="121"/>
      <c r="AI7" s="118"/>
      <c r="AM7" s="118"/>
      <c r="AN7" s="28"/>
      <c r="AO7" s="27"/>
      <c r="AQ7" s="27"/>
    </row>
    <row r="8" spans="1:44" s="127" customFormat="1" ht="12" customHeight="1" x14ac:dyDescent="0.15">
      <c r="A8" s="122"/>
      <c r="B8" s="123"/>
      <c r="C8" s="123"/>
      <c r="D8" s="123"/>
      <c r="E8" s="41"/>
      <c r="F8" s="123"/>
      <c r="G8" s="62" t="s">
        <v>113</v>
      </c>
      <c r="H8" s="124">
        <f>H9/B9*100</f>
        <v>8.3541706099759914</v>
      </c>
      <c r="I8" s="125" t="s">
        <v>114</v>
      </c>
      <c r="J8" s="62" t="s">
        <v>113</v>
      </c>
      <c r="K8" s="124">
        <f>K9/C9*100</f>
        <v>4.2015943156627564</v>
      </c>
      <c r="L8" s="125" t="s">
        <v>115</v>
      </c>
      <c r="M8" s="126"/>
      <c r="N8" s="62" t="s">
        <v>113</v>
      </c>
      <c r="O8" s="124">
        <f>O9/E9*100</f>
        <v>17.121249690057031</v>
      </c>
      <c r="P8" s="125" t="s">
        <v>17</v>
      </c>
      <c r="Q8" s="126"/>
      <c r="R8" s="62" t="s">
        <v>113</v>
      </c>
      <c r="S8" s="124">
        <f>S9/B9*100</f>
        <v>5.3097697771490617</v>
      </c>
      <c r="T8" s="125" t="s">
        <v>114</v>
      </c>
      <c r="U8" s="62" t="s">
        <v>113</v>
      </c>
      <c r="V8" s="124">
        <f>V9/C9*100</f>
        <v>2.0743720363492226</v>
      </c>
      <c r="W8" s="125" t="s">
        <v>17</v>
      </c>
      <c r="X8" s="126"/>
      <c r="Y8" s="62" t="s">
        <v>113</v>
      </c>
      <c r="Z8" s="124">
        <f>Z9/E9*100</f>
        <v>12.140466154227623</v>
      </c>
      <c r="AA8" s="125" t="s">
        <v>17</v>
      </c>
      <c r="AB8" s="126"/>
      <c r="AC8" s="62" t="s">
        <v>113</v>
      </c>
      <c r="AD8" s="124">
        <f>AD9/B9*100</f>
        <v>3.0444008328269296</v>
      </c>
      <c r="AE8" s="125" t="s">
        <v>114</v>
      </c>
      <c r="AF8" s="124" t="s">
        <v>113</v>
      </c>
      <c r="AG8" s="124">
        <f>AG9/C9*100</f>
        <v>2.1272222793135338</v>
      </c>
      <c r="AH8" s="124" t="s">
        <v>115</v>
      </c>
      <c r="AI8" s="126"/>
      <c r="AJ8" s="124" t="s">
        <v>113</v>
      </c>
      <c r="AK8" s="124">
        <f>AK9/E9*100</f>
        <v>4.9807835358294072</v>
      </c>
      <c r="AL8" s="125" t="s">
        <v>115</v>
      </c>
      <c r="AM8" s="126"/>
      <c r="AN8" s="124"/>
      <c r="AO8" s="126"/>
      <c r="AP8" s="124"/>
      <c r="AQ8" s="126"/>
    </row>
    <row r="9" spans="1:44" s="120" customFormat="1" ht="12" customHeight="1" x14ac:dyDescent="0.15">
      <c r="A9" s="128" t="s">
        <v>142</v>
      </c>
      <c r="B9" s="129">
        <f>+SUM(B10:B12)</f>
        <v>100381</v>
      </c>
      <c r="C9" s="129">
        <f>+SUM(C10:C12)</f>
        <v>68117</v>
      </c>
      <c r="D9" s="129">
        <f>C9/B9*100</f>
        <v>67.858459270180617</v>
      </c>
      <c r="E9" s="129">
        <f>+SUM(E10:E12)</f>
        <v>32264</v>
      </c>
      <c r="F9" s="129">
        <f>E9/B9*100</f>
        <v>32.14154072981939</v>
      </c>
      <c r="G9" s="130"/>
      <c r="H9" s="115">
        <f>S9+AD9</f>
        <v>8386</v>
      </c>
      <c r="I9" s="131"/>
      <c r="J9" s="130"/>
      <c r="K9" s="115">
        <f>V9+AG9</f>
        <v>2862</v>
      </c>
      <c r="L9" s="131"/>
      <c r="M9" s="129">
        <f>K9/H9*100</f>
        <v>34.128309086572862</v>
      </c>
      <c r="N9" s="130"/>
      <c r="O9" s="115">
        <f>Z9+AK9</f>
        <v>5524</v>
      </c>
      <c r="P9" s="131"/>
      <c r="Q9" s="129">
        <f>O9/H9*100</f>
        <v>65.871690913427145</v>
      </c>
      <c r="R9" s="130"/>
      <c r="S9" s="115">
        <f>SUM(S10:S12)</f>
        <v>5330</v>
      </c>
      <c r="T9" s="131"/>
      <c r="U9" s="130"/>
      <c r="V9" s="115">
        <f>SUM(V10:V12)</f>
        <v>1413</v>
      </c>
      <c r="W9" s="131"/>
      <c r="X9" s="129">
        <f>V9/S9*100</f>
        <v>26.510318949343343</v>
      </c>
      <c r="Y9" s="130"/>
      <c r="Z9" s="115">
        <f>+SUM(Z10:Z12)</f>
        <v>3917</v>
      </c>
      <c r="AA9" s="115"/>
      <c r="AB9" s="129">
        <f>Z9/S9*100</f>
        <v>73.489681050656657</v>
      </c>
      <c r="AC9" s="130"/>
      <c r="AD9" s="115">
        <f>SUM(AD10:AD12)</f>
        <v>3056</v>
      </c>
      <c r="AE9" s="131"/>
      <c r="AF9" s="115"/>
      <c r="AG9" s="115">
        <f>SUM(AG10:AG12)</f>
        <v>1449</v>
      </c>
      <c r="AH9" s="115"/>
      <c r="AI9" s="129">
        <f>AG9/AD9*100</f>
        <v>47.414921465968582</v>
      </c>
      <c r="AJ9" s="115"/>
      <c r="AK9" s="115">
        <f>SUM(AK10:AK12)</f>
        <v>1607</v>
      </c>
      <c r="AL9" s="115"/>
      <c r="AM9" s="129">
        <f>AK9/AD9*100</f>
        <v>52.585078534031418</v>
      </c>
      <c r="AN9" s="115">
        <f>+SUM(AO9,AQ9)</f>
        <v>91995</v>
      </c>
      <c r="AO9" s="129">
        <f>+SUM(C9)-SUM(K9)</f>
        <v>65255</v>
      </c>
      <c r="AP9" s="115">
        <f>+ROUND(AO9/AN9*100,1)</f>
        <v>70.900000000000006</v>
      </c>
      <c r="AQ9" s="129">
        <f>+SUM(E9)-SUM(O9)</f>
        <v>26740</v>
      </c>
      <c r="AR9" s="115">
        <f>+ROUND(AQ9/AN9*100,1)</f>
        <v>29.1</v>
      </c>
    </row>
    <row r="10" spans="1:44" s="120" customFormat="1" ht="12" customHeight="1" x14ac:dyDescent="0.15">
      <c r="A10" s="132" t="s">
        <v>103</v>
      </c>
      <c r="B10" s="129">
        <f>SUM(C10,E10)</f>
        <v>2318</v>
      </c>
      <c r="C10" s="129">
        <f>23+27+11+29+35+26+25+20+15+16+23+41</f>
        <v>291</v>
      </c>
      <c r="D10" s="129">
        <f>C10/B9*100</f>
        <v>0.28989549815204069</v>
      </c>
      <c r="E10" s="129">
        <f>186+166+153+221+243+191+174+122+130+103+142+196</f>
        <v>2027</v>
      </c>
      <c r="F10" s="129">
        <f>E10/B9*100</f>
        <v>2.0193064424542491</v>
      </c>
      <c r="G10" s="130"/>
      <c r="H10" s="115">
        <f>S10+AD10</f>
        <v>533</v>
      </c>
      <c r="I10" s="131"/>
      <c r="J10" s="130"/>
      <c r="K10" s="115">
        <f>V10+AG10</f>
        <v>25</v>
      </c>
      <c r="L10" s="131"/>
      <c r="M10" s="129">
        <f>K10/H9*100</f>
        <v>0.29811590746482231</v>
      </c>
      <c r="N10" s="130"/>
      <c r="O10" s="115">
        <f>Z10+AK10</f>
        <v>508</v>
      </c>
      <c r="P10" s="131"/>
      <c r="Q10" s="129">
        <f>O10/H9*100</f>
        <v>6.057715239685189</v>
      </c>
      <c r="R10" s="130"/>
      <c r="S10" s="115">
        <f>SUM(V10+Z10)</f>
        <v>179</v>
      </c>
      <c r="T10" s="131"/>
      <c r="U10" s="130"/>
      <c r="V10" s="115">
        <f>0+0+0+0+0+0+0+1+0+0+0+0</f>
        <v>1</v>
      </c>
      <c r="W10" s="131"/>
      <c r="X10" s="129">
        <f>V10/S9*100</f>
        <v>1.8761726078799251E-2</v>
      </c>
      <c r="Y10" s="130"/>
      <c r="Z10" s="115">
        <f>14+11+12+15+23+25+18+14+14+10+9+13</f>
        <v>178</v>
      </c>
      <c r="AA10" s="115"/>
      <c r="AB10" s="129">
        <f>Z10/S9*100</f>
        <v>3.3395872420262664</v>
      </c>
      <c r="AC10" s="130"/>
      <c r="AD10" s="115">
        <f>SUM(AG10+AK10)</f>
        <v>354</v>
      </c>
      <c r="AE10" s="131"/>
      <c r="AF10" s="115"/>
      <c r="AG10" s="115">
        <f>5+3+1+2+0+2+5+1+0+2+2+1</f>
        <v>24</v>
      </c>
      <c r="AH10" s="115"/>
      <c r="AI10" s="129">
        <f>AG10/AD9*100</f>
        <v>0.78534031413612559</v>
      </c>
      <c r="AJ10" s="115"/>
      <c r="AK10" s="115">
        <f>31+20+24+38+43+31+28+16+21+18+27+33</f>
        <v>330</v>
      </c>
      <c r="AL10" s="115"/>
      <c r="AM10" s="129">
        <f>AK10/AD9*100</f>
        <v>10.798429319371728</v>
      </c>
      <c r="AN10" s="115">
        <f>+SUM(AO10,AQ10)</f>
        <v>1785</v>
      </c>
      <c r="AO10" s="129">
        <f>+SUM(C10)-SUM(K10)</f>
        <v>266</v>
      </c>
      <c r="AP10" s="115">
        <f>+ROUND(AO10/AN9*100,1)</f>
        <v>0.3</v>
      </c>
      <c r="AQ10" s="129">
        <f>+SUM(E10)-SUM(O10)</f>
        <v>1519</v>
      </c>
      <c r="AR10" s="115">
        <f>+ROUND(AQ10/AN9*100,1)</f>
        <v>1.7</v>
      </c>
    </row>
    <row r="11" spans="1:44" s="120" customFormat="1" ht="12" customHeight="1" x14ac:dyDescent="0.15">
      <c r="A11" s="132" t="s">
        <v>102</v>
      </c>
      <c r="B11" s="129">
        <f>SUM(C11,E11)</f>
        <v>61587</v>
      </c>
      <c r="C11" s="129">
        <f>3668+3682+3877+3740+3452+3594+3636+3685+3329+3715+3931+3529</f>
        <v>43838</v>
      </c>
      <c r="D11" s="129">
        <f>C11/B9*100</f>
        <v>43.671611161474786</v>
      </c>
      <c r="E11" s="129">
        <f>1489+1623+1527+1433+1390+1468+1541+1516+1261+1389+1551+1561</f>
        <v>17749</v>
      </c>
      <c r="F11" s="129">
        <f>E11/B9*100</f>
        <v>17.681632978352475</v>
      </c>
      <c r="G11" s="130"/>
      <c r="H11" s="115">
        <f>S11+AD11</f>
        <v>5474</v>
      </c>
      <c r="I11" s="131"/>
      <c r="J11" s="130"/>
      <c r="K11" s="115">
        <f>V11+AG11</f>
        <v>2181</v>
      </c>
      <c r="L11" s="131"/>
      <c r="M11" s="129">
        <f>K11/H9*100</f>
        <v>26.0076317672311</v>
      </c>
      <c r="N11" s="130"/>
      <c r="O11" s="115">
        <f>Z11+AK11</f>
        <v>3293</v>
      </c>
      <c r="P11" s="131"/>
      <c r="Q11" s="129">
        <f>O11/H9*100</f>
        <v>39.267827331266396</v>
      </c>
      <c r="R11" s="130"/>
      <c r="S11" s="115">
        <f>SUM(V11+Z11)</f>
        <v>3345</v>
      </c>
      <c r="T11" s="131"/>
      <c r="U11" s="130"/>
      <c r="V11" s="115">
        <f>89+95+88+117+105+78+67+68+78+64+67+72</f>
        <v>988</v>
      </c>
      <c r="W11" s="131"/>
      <c r="X11" s="129">
        <f>V11/S9*100</f>
        <v>18.536585365853657</v>
      </c>
      <c r="Y11" s="130"/>
      <c r="Z11" s="115">
        <f>208+240+218+226+209+190+194+176+160+166+186+184</f>
        <v>2357</v>
      </c>
      <c r="AA11" s="115"/>
      <c r="AB11" s="129">
        <f>Z11/S9*100</f>
        <v>44.22138836772983</v>
      </c>
      <c r="AC11" s="130"/>
      <c r="AD11" s="115">
        <f>SUM(AG11+AK11)</f>
        <v>2129</v>
      </c>
      <c r="AE11" s="131"/>
      <c r="AF11" s="115"/>
      <c r="AG11" s="115">
        <f>105+100+96+96+93+113+98+94+77+117+101+103</f>
        <v>1193</v>
      </c>
      <c r="AH11" s="115"/>
      <c r="AI11" s="129">
        <f>AG11/AD9*100</f>
        <v>39.037958115183244</v>
      </c>
      <c r="AJ11" s="115"/>
      <c r="AK11" s="115">
        <f>92+84+72+85+73+86+74+81+48+73+92+76</f>
        <v>936</v>
      </c>
      <c r="AL11" s="115"/>
      <c r="AM11" s="129">
        <f>AK11/AD9*100</f>
        <v>30.628272251308903</v>
      </c>
      <c r="AN11" s="115">
        <f>+SUM(AO11,AQ11)</f>
        <v>56113</v>
      </c>
      <c r="AO11" s="129">
        <f>+SUM(C11)-SUM(K11)</f>
        <v>41657</v>
      </c>
      <c r="AP11" s="115">
        <f>+ROUND(AO11/AN9*100,1)</f>
        <v>45.3</v>
      </c>
      <c r="AQ11" s="129">
        <f>+SUM(E11)-SUM(O11)</f>
        <v>14456</v>
      </c>
      <c r="AR11" s="115">
        <f>+ROUND(AQ11/AN9*100,1)</f>
        <v>15.7</v>
      </c>
    </row>
    <row r="12" spans="1:44" s="120" customFormat="1" ht="12" customHeight="1" x14ac:dyDescent="0.15">
      <c r="A12" s="133" t="s">
        <v>116</v>
      </c>
      <c r="B12" s="134">
        <f>SUM(C12,E12)</f>
        <v>36476</v>
      </c>
      <c r="C12" s="134">
        <f>1920+2084+1985+2198+2042+1943+2156+1979+1767+1918+1997+1999</f>
        <v>23988</v>
      </c>
      <c r="D12" s="134">
        <f>C12/B9*100</f>
        <v>23.896952610553789</v>
      </c>
      <c r="E12" s="134">
        <f>1090+1103+1039+1149+1047+1045+1104+993+858+898+1048+1114</f>
        <v>12488</v>
      </c>
      <c r="F12" s="134">
        <f>E12/B9*100</f>
        <v>12.440601309012662</v>
      </c>
      <c r="G12" s="135"/>
      <c r="H12" s="136">
        <f>S12+AD12</f>
        <v>2379</v>
      </c>
      <c r="I12" s="137"/>
      <c r="J12" s="135"/>
      <c r="K12" s="136">
        <f>V12+AG12</f>
        <v>656</v>
      </c>
      <c r="L12" s="137"/>
      <c r="M12" s="134">
        <f>K12/H9*100+1</f>
        <v>8.8225614118769382</v>
      </c>
      <c r="N12" s="135"/>
      <c r="O12" s="136">
        <f>Z12+AK12</f>
        <v>1723</v>
      </c>
      <c r="P12" s="137"/>
      <c r="Q12" s="134">
        <f>O12/H9*100-1</f>
        <v>19.546148342475554</v>
      </c>
      <c r="R12" s="135"/>
      <c r="S12" s="136">
        <f>SUM(V12+Z12)</f>
        <v>1806</v>
      </c>
      <c r="T12" s="137"/>
      <c r="U12" s="135"/>
      <c r="V12" s="136">
        <f>45+55+38+36+36+34+25+21+27+23+40+44</f>
        <v>424</v>
      </c>
      <c r="W12" s="137"/>
      <c r="X12" s="134">
        <f>V12/S9*100</f>
        <v>7.9549718574108823</v>
      </c>
      <c r="Y12" s="135"/>
      <c r="Z12" s="136">
        <f>127+139+141+122+117+136+100+95+79+99+115+112</f>
        <v>1382</v>
      </c>
      <c r="AA12" s="136"/>
      <c r="AB12" s="134">
        <f>Z12/S9*100+1</f>
        <v>26.928705440900561</v>
      </c>
      <c r="AC12" s="135"/>
      <c r="AD12" s="136">
        <f>SUM(AG12+AK12)</f>
        <v>573</v>
      </c>
      <c r="AE12" s="137"/>
      <c r="AF12" s="136"/>
      <c r="AG12" s="136">
        <f>21+23+17+20+17+19+25+19+16+23+19+13</f>
        <v>232</v>
      </c>
      <c r="AH12" s="136"/>
      <c r="AI12" s="134">
        <f>AG12/AD9*100</f>
        <v>7.5916230366492146</v>
      </c>
      <c r="AJ12" s="136"/>
      <c r="AK12" s="136">
        <f>36+21+29+26+38+34+35+28+25+12+22+35</f>
        <v>341</v>
      </c>
      <c r="AL12" s="136"/>
      <c r="AM12" s="134">
        <f>AK12/AD9*100</f>
        <v>11.158376963350786</v>
      </c>
      <c r="AN12" s="134">
        <f>+SUM(AO12,AQ12)</f>
        <v>34097</v>
      </c>
      <c r="AO12" s="134">
        <f>+SUM(C12)-SUM(K12)</f>
        <v>23332</v>
      </c>
      <c r="AP12" s="136">
        <f>+ROUND(AO12/AN9*100,1)</f>
        <v>25.4</v>
      </c>
      <c r="AQ12" s="134">
        <f>+SUM(E12)-SUM(O12)</f>
        <v>10765</v>
      </c>
      <c r="AR12" s="136">
        <f>+ROUND(AQ12/AN9*100,1)</f>
        <v>11.7</v>
      </c>
    </row>
    <row r="13" spans="1:44" s="120" customFormat="1" ht="12" customHeight="1" x14ac:dyDescent="0.15">
      <c r="A13" s="117"/>
      <c r="B13" s="27"/>
      <c r="C13" s="27"/>
      <c r="D13" s="118"/>
      <c r="E13" s="27"/>
      <c r="F13" s="118"/>
      <c r="G13" s="119"/>
      <c r="I13" s="121"/>
      <c r="J13" s="119"/>
      <c r="L13" s="121"/>
      <c r="M13" s="118"/>
      <c r="N13" s="119"/>
      <c r="P13" s="121"/>
      <c r="Q13" s="118"/>
      <c r="R13" s="119"/>
      <c r="T13" s="121"/>
      <c r="U13" s="119"/>
      <c r="W13" s="121"/>
      <c r="X13" s="118"/>
      <c r="Y13" s="119"/>
      <c r="AB13" s="118"/>
      <c r="AC13" s="119"/>
      <c r="AE13" s="121"/>
      <c r="AI13" s="118"/>
      <c r="AM13" s="118"/>
      <c r="AN13" s="28"/>
      <c r="AO13" s="27"/>
      <c r="AQ13" s="27"/>
    </row>
    <row r="14" spans="1:44" s="127" customFormat="1" ht="12" customHeight="1" x14ac:dyDescent="0.15">
      <c r="A14" s="122"/>
      <c r="B14" s="123"/>
      <c r="C14" s="123"/>
      <c r="D14" s="123"/>
      <c r="E14" s="41"/>
      <c r="F14" s="123"/>
      <c r="G14" s="62" t="s">
        <v>113</v>
      </c>
      <c r="H14" s="124">
        <f>H15/B15*100</f>
        <v>8.6290138694742691</v>
      </c>
      <c r="I14" s="125" t="s">
        <v>114</v>
      </c>
      <c r="J14" s="62" t="s">
        <v>113</v>
      </c>
      <c r="K14" s="124">
        <f>K15/C15*100</f>
        <v>4.5176886109663599</v>
      </c>
      <c r="L14" s="125" t="s">
        <v>115</v>
      </c>
      <c r="M14" s="126"/>
      <c r="N14" s="62" t="s">
        <v>113</v>
      </c>
      <c r="O14" s="124">
        <f>O15/E15*100</f>
        <v>17.564889098631433</v>
      </c>
      <c r="P14" s="125" t="s">
        <v>17</v>
      </c>
      <c r="Q14" s="126"/>
      <c r="R14" s="62" t="s">
        <v>113</v>
      </c>
      <c r="S14" s="124">
        <f>S15/B15*100</f>
        <v>5.6122297237010379</v>
      </c>
      <c r="T14" s="125" t="s">
        <v>114</v>
      </c>
      <c r="U14" s="62" t="s">
        <v>113</v>
      </c>
      <c r="V14" s="124">
        <f>V15/C15*100</f>
        <v>2.2812807596549125</v>
      </c>
      <c r="W14" s="125" t="s">
        <v>17</v>
      </c>
      <c r="X14" s="126"/>
      <c r="Y14" s="62" t="s">
        <v>113</v>
      </c>
      <c r="Z14" s="124">
        <f>Z15/E15*100</f>
        <v>12.851974201667455</v>
      </c>
      <c r="AA14" s="125" t="s">
        <v>17</v>
      </c>
      <c r="AB14" s="126"/>
      <c r="AC14" s="62" t="s">
        <v>113</v>
      </c>
      <c r="AD14" s="124">
        <f>AD15/B15*100</f>
        <v>3.0167841457732307</v>
      </c>
      <c r="AE14" s="125" t="s">
        <v>114</v>
      </c>
      <c r="AF14" s="124" t="s">
        <v>113</v>
      </c>
      <c r="AG14" s="124">
        <f>AG15/C15*100</f>
        <v>2.2364078513114469</v>
      </c>
      <c r="AH14" s="124" t="s">
        <v>115</v>
      </c>
      <c r="AI14" s="126"/>
      <c r="AJ14" s="124" t="s">
        <v>113</v>
      </c>
      <c r="AK14" s="124">
        <f>AK15/E15*100</f>
        <v>4.7129148969639765</v>
      </c>
      <c r="AL14" s="125" t="s">
        <v>115</v>
      </c>
      <c r="AM14" s="126"/>
      <c r="AN14" s="124"/>
      <c r="AO14" s="126"/>
      <c r="AP14" s="124"/>
      <c r="AQ14" s="126"/>
    </row>
    <row r="15" spans="1:44" s="120" customFormat="1" ht="12" customHeight="1" x14ac:dyDescent="0.15">
      <c r="A15" s="128" t="s">
        <v>143</v>
      </c>
      <c r="B15" s="129">
        <f>+SUM(B16:B18)</f>
        <v>100869</v>
      </c>
      <c r="C15" s="129">
        <f>+SUM(C16:C18)</f>
        <v>69084</v>
      </c>
      <c r="D15" s="129">
        <f>C15/B15*100</f>
        <v>68.488832049489929</v>
      </c>
      <c r="E15" s="129">
        <f>+SUM(E16:E18)</f>
        <v>31785</v>
      </c>
      <c r="F15" s="129">
        <f>E15/B15*100</f>
        <v>31.511167950510067</v>
      </c>
      <c r="G15" s="130"/>
      <c r="H15" s="115">
        <f>S15+AD15</f>
        <v>8704</v>
      </c>
      <c r="I15" s="131"/>
      <c r="J15" s="130"/>
      <c r="K15" s="115">
        <f>V15+AG15</f>
        <v>3121</v>
      </c>
      <c r="L15" s="131"/>
      <c r="M15" s="129">
        <f>K15/H15*100</f>
        <v>35.857077205882355</v>
      </c>
      <c r="N15" s="130"/>
      <c r="O15" s="115">
        <f>Z15+AK15</f>
        <v>5583</v>
      </c>
      <c r="P15" s="131"/>
      <c r="Q15" s="129">
        <f>O15/H15*100</f>
        <v>64.142922794117652</v>
      </c>
      <c r="R15" s="130"/>
      <c r="S15" s="115">
        <f>SUM(S16:S18)</f>
        <v>5661</v>
      </c>
      <c r="T15" s="131"/>
      <c r="U15" s="130"/>
      <c r="V15" s="115">
        <f>SUM(V16:V18)</f>
        <v>1576</v>
      </c>
      <c r="W15" s="131"/>
      <c r="X15" s="129">
        <f>V15/S15*100</f>
        <v>27.839604310192545</v>
      </c>
      <c r="Y15" s="130"/>
      <c r="Z15" s="115">
        <f>+SUM(Z16:Z18)</f>
        <v>4085</v>
      </c>
      <c r="AA15" s="115"/>
      <c r="AB15" s="129">
        <f>Z15/S15*100</f>
        <v>72.160395689807459</v>
      </c>
      <c r="AC15" s="130"/>
      <c r="AD15" s="115">
        <f>SUM(AD16:AD18)</f>
        <v>3043</v>
      </c>
      <c r="AE15" s="131"/>
      <c r="AF15" s="115"/>
      <c r="AG15" s="115">
        <f>SUM(AG16:AG18)</f>
        <v>1545</v>
      </c>
      <c r="AH15" s="115"/>
      <c r="AI15" s="129">
        <f>AG15/AD15*100</f>
        <v>50.772264212947746</v>
      </c>
      <c r="AJ15" s="115"/>
      <c r="AK15" s="115">
        <f>SUM(AK16:AK18)</f>
        <v>1498</v>
      </c>
      <c r="AL15" s="115"/>
      <c r="AM15" s="129">
        <f>AK15/AD15*100</f>
        <v>49.227735787052254</v>
      </c>
      <c r="AN15" s="115">
        <f>+SUM(AO15,AQ15)</f>
        <v>92165</v>
      </c>
      <c r="AO15" s="129">
        <f>+SUM(C15)-SUM(K15)</f>
        <v>65963</v>
      </c>
      <c r="AP15" s="115">
        <f>+ROUND(AO15/AN15*100,1)</f>
        <v>71.599999999999994</v>
      </c>
      <c r="AQ15" s="129">
        <f>+SUM(E15)-SUM(O15)</f>
        <v>26202</v>
      </c>
      <c r="AR15" s="115">
        <f>+ROUND(AQ15/AN15*100,1)</f>
        <v>28.4</v>
      </c>
    </row>
    <row r="16" spans="1:44" s="120" customFormat="1" ht="12" customHeight="1" x14ac:dyDescent="0.15">
      <c r="A16" s="132" t="s">
        <v>103</v>
      </c>
      <c r="B16" s="129">
        <f>SUM(C16,E16)</f>
        <v>2216</v>
      </c>
      <c r="C16" s="129">
        <v>283</v>
      </c>
      <c r="D16" s="129">
        <f>C16/B15*100</f>
        <v>0.28056191694177601</v>
      </c>
      <c r="E16" s="129">
        <v>1933</v>
      </c>
      <c r="F16" s="129">
        <f>E16/B15*100</f>
        <v>1.9163469450475368</v>
      </c>
      <c r="G16" s="130"/>
      <c r="H16" s="115">
        <f>S16+AD16</f>
        <v>465</v>
      </c>
      <c r="I16" s="131"/>
      <c r="J16" s="130"/>
      <c r="K16" s="115">
        <f>V16+AG16</f>
        <v>11</v>
      </c>
      <c r="L16" s="131"/>
      <c r="M16" s="129">
        <f>K16/H15*100</f>
        <v>0.12637867647058823</v>
      </c>
      <c r="N16" s="130"/>
      <c r="O16" s="115">
        <f>Z16+AK16</f>
        <v>454</v>
      </c>
      <c r="P16" s="131"/>
      <c r="Q16" s="129">
        <f>O16/H15*100</f>
        <v>5.2159926470588234</v>
      </c>
      <c r="R16" s="130"/>
      <c r="S16" s="115">
        <f>SUM(V16+Z16)</f>
        <v>160</v>
      </c>
      <c r="T16" s="131"/>
      <c r="U16" s="130"/>
      <c r="V16" s="115">
        <v>2</v>
      </c>
      <c r="W16" s="131"/>
      <c r="X16" s="129">
        <f>V16/S15*100</f>
        <v>3.5329447094152977E-2</v>
      </c>
      <c r="Y16" s="130"/>
      <c r="Z16" s="115">
        <v>158</v>
      </c>
      <c r="AA16" s="115"/>
      <c r="AB16" s="129">
        <f>Z16/S15*100</f>
        <v>2.791026320438085</v>
      </c>
      <c r="AC16" s="130"/>
      <c r="AD16" s="115">
        <f>SUM(AG16+AK16)</f>
        <v>305</v>
      </c>
      <c r="AE16" s="131"/>
      <c r="AF16" s="115"/>
      <c r="AG16" s="115">
        <v>9</v>
      </c>
      <c r="AH16" s="115"/>
      <c r="AI16" s="129">
        <f>AG16/AD15*100</f>
        <v>0.29576076240552085</v>
      </c>
      <c r="AJ16" s="115"/>
      <c r="AK16" s="115">
        <v>296</v>
      </c>
      <c r="AL16" s="115"/>
      <c r="AM16" s="129">
        <f>AK16/AD15*100</f>
        <v>9.7272428524482422</v>
      </c>
      <c r="AN16" s="115">
        <f>+SUM(AO16,AQ16)</f>
        <v>1751</v>
      </c>
      <c r="AO16" s="129">
        <f>+SUM(C16)-SUM(K16)</f>
        <v>272</v>
      </c>
      <c r="AP16" s="115">
        <f>+ROUND(AO16/AN15*100,1)</f>
        <v>0.3</v>
      </c>
      <c r="AQ16" s="129">
        <f>+SUM(E16)-SUM(O16)</f>
        <v>1479</v>
      </c>
      <c r="AR16" s="115">
        <f>+ROUND(AQ16/AN15*100,1)</f>
        <v>1.6</v>
      </c>
    </row>
    <row r="17" spans="1:44" s="120" customFormat="1" ht="12" customHeight="1" x14ac:dyDescent="0.15">
      <c r="A17" s="132" t="s">
        <v>102</v>
      </c>
      <c r="B17" s="129">
        <f>SUM(C17,E17)</f>
        <v>61332</v>
      </c>
      <c r="C17" s="129">
        <v>44024</v>
      </c>
      <c r="D17" s="129">
        <f>C17/B15*100</f>
        <v>43.644727319592739</v>
      </c>
      <c r="E17" s="129">
        <v>17308</v>
      </c>
      <c r="F17" s="129">
        <f>E17/B15*100</f>
        <v>17.158889252396673</v>
      </c>
      <c r="G17" s="130"/>
      <c r="H17" s="115">
        <f>S17+AD17</f>
        <v>5912</v>
      </c>
      <c r="I17" s="131"/>
      <c r="J17" s="130"/>
      <c r="K17" s="115">
        <f>V17+AG17</f>
        <v>2463</v>
      </c>
      <c r="L17" s="131"/>
      <c r="M17" s="129">
        <f>K17/H15*100</f>
        <v>28.297334558823529</v>
      </c>
      <c r="N17" s="130"/>
      <c r="O17" s="115">
        <f>Z17+AK17</f>
        <v>3449</v>
      </c>
      <c r="P17" s="131"/>
      <c r="Q17" s="129">
        <f>O17/H15*100</f>
        <v>39.625459558823529</v>
      </c>
      <c r="R17" s="130"/>
      <c r="S17" s="115">
        <f>SUM(V17+Z17)</f>
        <v>3684</v>
      </c>
      <c r="T17" s="131"/>
      <c r="U17" s="130"/>
      <c r="V17" s="115">
        <v>1151</v>
      </c>
      <c r="W17" s="131"/>
      <c r="X17" s="129">
        <f>V17/S15*100</f>
        <v>20.332096802685037</v>
      </c>
      <c r="Y17" s="130"/>
      <c r="Z17" s="115">
        <v>2533</v>
      </c>
      <c r="AA17" s="115"/>
      <c r="AB17" s="129">
        <f>Z17/S15*100</f>
        <v>44.74474474474475</v>
      </c>
      <c r="AC17" s="130"/>
      <c r="AD17" s="115">
        <f>SUM(AG17+AK17)</f>
        <v>2228</v>
      </c>
      <c r="AE17" s="131"/>
      <c r="AF17" s="115"/>
      <c r="AG17" s="115">
        <f>201+303+87+340+58+323</f>
        <v>1312</v>
      </c>
      <c r="AH17" s="115"/>
      <c r="AI17" s="129">
        <f>AG17/AD15*100</f>
        <v>43.115346697338154</v>
      </c>
      <c r="AJ17" s="115"/>
      <c r="AK17" s="115">
        <v>916</v>
      </c>
      <c r="AL17" s="115"/>
      <c r="AM17" s="129">
        <f>AK17/AD15*100</f>
        <v>30.101873151495234</v>
      </c>
      <c r="AN17" s="115">
        <f>+SUM(AO17,AQ17)</f>
        <v>55420</v>
      </c>
      <c r="AO17" s="129">
        <f>+SUM(C17)-SUM(K17)</f>
        <v>41561</v>
      </c>
      <c r="AP17" s="115">
        <f>+ROUND(AO17/AN15*100,1)</f>
        <v>45.1</v>
      </c>
      <c r="AQ17" s="129">
        <f>+SUM(E17)-SUM(O17)</f>
        <v>13859</v>
      </c>
      <c r="AR17" s="115">
        <f>+ROUND(AQ17/AN15*100,1)</f>
        <v>15</v>
      </c>
    </row>
    <row r="18" spans="1:44" s="120" customFormat="1" ht="12" customHeight="1" x14ac:dyDescent="0.15">
      <c r="A18" s="133" t="s">
        <v>116</v>
      </c>
      <c r="B18" s="134">
        <f>SUM(C18,E18)</f>
        <v>37321</v>
      </c>
      <c r="C18" s="134">
        <f>8360+16417</f>
        <v>24777</v>
      </c>
      <c r="D18" s="134">
        <f>C18/B15*100</f>
        <v>24.563542812955415</v>
      </c>
      <c r="E18" s="134">
        <f>6987+5557</f>
        <v>12544</v>
      </c>
      <c r="F18" s="134">
        <f>E18/B15*100</f>
        <v>12.435931753065859</v>
      </c>
      <c r="G18" s="135"/>
      <c r="H18" s="136">
        <f>S18+AD18</f>
        <v>2327</v>
      </c>
      <c r="I18" s="137"/>
      <c r="J18" s="135"/>
      <c r="K18" s="136">
        <f>V18+AG18</f>
        <v>647</v>
      </c>
      <c r="L18" s="137"/>
      <c r="M18" s="134">
        <f>K18/H15*100+1</f>
        <v>8.4333639705882355</v>
      </c>
      <c r="N18" s="135"/>
      <c r="O18" s="136">
        <f>Z18+AK18</f>
        <v>1680</v>
      </c>
      <c r="P18" s="137"/>
      <c r="Q18" s="134">
        <f>O18/H15*100-1</f>
        <v>18.301470588235293</v>
      </c>
      <c r="R18" s="135"/>
      <c r="S18" s="136">
        <f>SUM(V18+Z18)</f>
        <v>1817</v>
      </c>
      <c r="T18" s="137"/>
      <c r="U18" s="135"/>
      <c r="V18" s="136">
        <f>152+271</f>
        <v>423</v>
      </c>
      <c r="W18" s="137"/>
      <c r="X18" s="134">
        <f>V18/S15*100</f>
        <v>7.4721780604133547</v>
      </c>
      <c r="Y18" s="135"/>
      <c r="Z18" s="136">
        <f>722+672</f>
        <v>1394</v>
      </c>
      <c r="AA18" s="136"/>
      <c r="AB18" s="134">
        <f>Z18/S15*100+1</f>
        <v>25.624624624624623</v>
      </c>
      <c r="AC18" s="135"/>
      <c r="AD18" s="136">
        <f>SUM(AG18+AK18)</f>
        <v>510</v>
      </c>
      <c r="AE18" s="137"/>
      <c r="AF18" s="136"/>
      <c r="AG18" s="136">
        <v>224</v>
      </c>
      <c r="AH18" s="136"/>
      <c r="AI18" s="134">
        <f>AG18/AD15*100</f>
        <v>7.3611567532040745</v>
      </c>
      <c r="AJ18" s="136"/>
      <c r="AK18" s="136">
        <v>286</v>
      </c>
      <c r="AL18" s="136"/>
      <c r="AM18" s="134">
        <f>AK18/AD15*100</f>
        <v>9.3986197831087743</v>
      </c>
      <c r="AN18" s="134">
        <f>+SUM(AO18,AQ18)</f>
        <v>34994</v>
      </c>
      <c r="AO18" s="134">
        <f>+SUM(C18)-SUM(K18)</f>
        <v>24130</v>
      </c>
      <c r="AP18" s="136">
        <f>+ROUND(AO18/AN15*100,1)</f>
        <v>26.2</v>
      </c>
      <c r="AQ18" s="134">
        <f>+SUM(E18)-SUM(O18)</f>
        <v>10864</v>
      </c>
      <c r="AR18" s="136">
        <f>+ROUND(AQ18/AN15*100,1)</f>
        <v>11.8</v>
      </c>
    </row>
    <row r="19" spans="1:44" s="120" customFormat="1" ht="12" customHeight="1" x14ac:dyDescent="0.15">
      <c r="A19" s="117"/>
      <c r="B19" s="27"/>
      <c r="C19" s="27"/>
      <c r="D19" s="118"/>
      <c r="E19" s="27"/>
      <c r="F19" s="118"/>
      <c r="G19" s="119"/>
      <c r="I19" s="121"/>
      <c r="J19" s="119"/>
      <c r="L19" s="121"/>
      <c r="M19" s="118"/>
      <c r="N19" s="119"/>
      <c r="P19" s="121"/>
      <c r="Q19" s="118"/>
      <c r="R19" s="119"/>
      <c r="T19" s="121"/>
      <c r="U19" s="119"/>
      <c r="W19" s="121"/>
      <c r="X19" s="118"/>
      <c r="Y19" s="119"/>
      <c r="AB19" s="118"/>
      <c r="AC19" s="119"/>
      <c r="AE19" s="121"/>
      <c r="AI19" s="118"/>
      <c r="AM19" s="118"/>
      <c r="AN19" s="28"/>
      <c r="AO19" s="27"/>
      <c r="AQ19" s="27"/>
    </row>
    <row r="20" spans="1:44" s="127" customFormat="1" ht="12" customHeight="1" x14ac:dyDescent="0.15">
      <c r="A20" s="122"/>
      <c r="B20" s="123"/>
      <c r="C20" s="123"/>
      <c r="D20" s="123"/>
      <c r="E20" s="41"/>
      <c r="F20" s="123"/>
      <c r="G20" s="62" t="s">
        <v>113</v>
      </c>
      <c r="H20" s="124">
        <f>H21/B21*100</f>
        <v>10.340588472390165</v>
      </c>
      <c r="I20" s="125" t="s">
        <v>114</v>
      </c>
      <c r="J20" s="62" t="s">
        <v>113</v>
      </c>
      <c r="K20" s="124">
        <f>K21/C21*100</f>
        <v>5.6883929625693703</v>
      </c>
      <c r="L20" s="125" t="s">
        <v>115</v>
      </c>
      <c r="M20" s="126"/>
      <c r="N20" s="62" t="s">
        <v>113</v>
      </c>
      <c r="O20" s="124">
        <f>O21/E21*100</f>
        <v>20.350609756097558</v>
      </c>
      <c r="P20" s="125" t="s">
        <v>17</v>
      </c>
      <c r="Q20" s="126"/>
      <c r="R20" s="62" t="s">
        <v>113</v>
      </c>
      <c r="S20" s="124">
        <f>S21/B21*100</f>
        <v>7.3750503829101168</v>
      </c>
      <c r="T20" s="125" t="s">
        <v>114</v>
      </c>
      <c r="U20" s="62" t="s">
        <v>113</v>
      </c>
      <c r="V20" s="124">
        <f>V21/C21*100</f>
        <v>3.4862439485181254</v>
      </c>
      <c r="W20" s="125" t="s">
        <v>17</v>
      </c>
      <c r="X20" s="126"/>
      <c r="Y20" s="62" t="s">
        <v>113</v>
      </c>
      <c r="Z20" s="124">
        <f>Z21/E21*100</f>
        <v>15.742505081300814</v>
      </c>
      <c r="AA20" s="125" t="s">
        <v>17</v>
      </c>
      <c r="AB20" s="126"/>
      <c r="AC20" s="62" t="s">
        <v>113</v>
      </c>
      <c r="AD20" s="124">
        <f>AD21/B21*100</f>
        <v>2.9655380894800483</v>
      </c>
      <c r="AE20" s="125" t="s">
        <v>114</v>
      </c>
      <c r="AF20" s="124" t="s">
        <v>113</v>
      </c>
      <c r="AG20" s="124">
        <f>AG21/C21*100</f>
        <v>2.2021490140512459</v>
      </c>
      <c r="AH20" s="124" t="s">
        <v>115</v>
      </c>
      <c r="AI20" s="126"/>
      <c r="AJ20" s="124" t="s">
        <v>113</v>
      </c>
      <c r="AK20" s="124">
        <f>AK21/E21*100</f>
        <v>4.6081046747967482</v>
      </c>
      <c r="AL20" s="125" t="s">
        <v>115</v>
      </c>
      <c r="AM20" s="126"/>
      <c r="AN20" s="124"/>
      <c r="AO20" s="126"/>
      <c r="AP20" s="124"/>
      <c r="AQ20" s="126"/>
    </row>
    <row r="21" spans="1:44" s="120" customFormat="1" ht="12" customHeight="1" x14ac:dyDescent="0.15">
      <c r="A21" s="128" t="s">
        <v>148</v>
      </c>
      <c r="B21" s="129">
        <f>+SUM(B22:B24)</f>
        <v>99240</v>
      </c>
      <c r="C21" s="129">
        <f>+SUM(C22:C24)</f>
        <v>67752</v>
      </c>
      <c r="D21" s="129">
        <f>C21/B21*100</f>
        <v>68.270858524788395</v>
      </c>
      <c r="E21" s="129">
        <f>+SUM(E22:E24)</f>
        <v>31488</v>
      </c>
      <c r="F21" s="129">
        <f>E21/B21*100</f>
        <v>31.729141475211609</v>
      </c>
      <c r="G21" s="130"/>
      <c r="H21" s="115">
        <f>S21+AD21</f>
        <v>10262</v>
      </c>
      <c r="I21" s="131"/>
      <c r="J21" s="130"/>
      <c r="K21" s="115">
        <f>V21+AG21</f>
        <v>3854</v>
      </c>
      <c r="L21" s="131"/>
      <c r="M21" s="129">
        <f>K21/H21*100</f>
        <v>37.556031962580391</v>
      </c>
      <c r="N21" s="130"/>
      <c r="O21" s="115">
        <f>Z21+AK21</f>
        <v>6408</v>
      </c>
      <c r="P21" s="131"/>
      <c r="Q21" s="129">
        <f>O21/H21*100</f>
        <v>62.443968037419609</v>
      </c>
      <c r="R21" s="130"/>
      <c r="S21" s="115">
        <f>SUM(S22:S24)</f>
        <v>7319</v>
      </c>
      <c r="T21" s="131"/>
      <c r="U21" s="130"/>
      <c r="V21" s="115">
        <f>SUM(V22:V24)</f>
        <v>2362</v>
      </c>
      <c r="W21" s="131"/>
      <c r="X21" s="129">
        <f>V21/S21*100</f>
        <v>32.272168329006696</v>
      </c>
      <c r="Y21" s="130"/>
      <c r="Z21" s="115">
        <f>+SUM(Z22:Z24)</f>
        <v>4957</v>
      </c>
      <c r="AA21" s="115"/>
      <c r="AB21" s="129">
        <f>Z21/S21*100</f>
        <v>67.727831670993311</v>
      </c>
      <c r="AC21" s="130"/>
      <c r="AD21" s="115">
        <f>SUM(AD22:AD24)</f>
        <v>2943</v>
      </c>
      <c r="AE21" s="131"/>
      <c r="AF21" s="115"/>
      <c r="AG21" s="115">
        <f>SUM(AG22:AG24)</f>
        <v>1492</v>
      </c>
      <c r="AH21" s="115"/>
      <c r="AI21" s="129">
        <f>AG21/AD21*100</f>
        <v>50.696568127760791</v>
      </c>
      <c r="AJ21" s="115"/>
      <c r="AK21" s="115">
        <f>SUM(AK22:AK24)</f>
        <v>1451</v>
      </c>
      <c r="AL21" s="115"/>
      <c r="AM21" s="129">
        <f>AK21/AD21*100</f>
        <v>49.303431872239209</v>
      </c>
      <c r="AN21" s="115">
        <f>+SUM(AO21,AQ21)</f>
        <v>88978</v>
      </c>
      <c r="AO21" s="129">
        <f>+SUM(C21)-SUM(K21)</f>
        <v>63898</v>
      </c>
      <c r="AP21" s="115">
        <f>+ROUND(AO21/AN21*100,1)</f>
        <v>71.8</v>
      </c>
      <c r="AQ21" s="129">
        <f>+SUM(E21)-SUM(O21)</f>
        <v>25080</v>
      </c>
      <c r="AR21" s="115">
        <f>+ROUND(AQ21/AN21*100,1)</f>
        <v>28.2</v>
      </c>
    </row>
    <row r="22" spans="1:44" s="120" customFormat="1" ht="12" customHeight="1" x14ac:dyDescent="0.15">
      <c r="A22" s="132" t="s">
        <v>103</v>
      </c>
      <c r="B22" s="129">
        <f>SUM(C22,E22)</f>
        <v>2096</v>
      </c>
      <c r="C22" s="129">
        <f>238+21</f>
        <v>259</v>
      </c>
      <c r="D22" s="129">
        <f>C22/B21*100</f>
        <v>0.26098347440548164</v>
      </c>
      <c r="E22" s="129">
        <f>1373+464</f>
        <v>1837</v>
      </c>
      <c r="F22" s="129">
        <f>E22/B21*100</f>
        <v>1.8510681176944779</v>
      </c>
      <c r="G22" s="130"/>
      <c r="H22" s="115">
        <f>S22+AD22</f>
        <v>485</v>
      </c>
      <c r="I22" s="131"/>
      <c r="J22" s="130"/>
      <c r="K22" s="115">
        <f>V22+AG22</f>
        <v>21</v>
      </c>
      <c r="L22" s="131"/>
      <c r="M22" s="129">
        <f>K22/H21*100</f>
        <v>0.20463847203274216</v>
      </c>
      <c r="N22" s="130"/>
      <c r="O22" s="115">
        <f>Z22+AK22</f>
        <v>464</v>
      </c>
      <c r="P22" s="131"/>
      <c r="Q22" s="129">
        <f>O22/H21*100</f>
        <v>4.5215357630091599</v>
      </c>
      <c r="R22" s="130"/>
      <c r="S22" s="115">
        <f>SUM(V22+Z22)</f>
        <v>211</v>
      </c>
      <c r="T22" s="131"/>
      <c r="U22" s="130"/>
      <c r="V22" s="115">
        <v>2</v>
      </c>
      <c r="W22" s="131"/>
      <c r="X22" s="129">
        <f>V22/S21*100</f>
        <v>2.7326137450471376E-2</v>
      </c>
      <c r="Y22" s="130"/>
      <c r="Z22" s="115">
        <v>209</v>
      </c>
      <c r="AA22" s="115"/>
      <c r="AB22" s="129">
        <f>Z22/S21*100</f>
        <v>2.8555813635742586</v>
      </c>
      <c r="AC22" s="130"/>
      <c r="AD22" s="115">
        <f>SUM(AG22+AK22)</f>
        <v>274</v>
      </c>
      <c r="AE22" s="131"/>
      <c r="AF22" s="115"/>
      <c r="AG22" s="115">
        <v>19</v>
      </c>
      <c r="AH22" s="115"/>
      <c r="AI22" s="129">
        <f>AG22/AD21*100</f>
        <v>0.6455997281685355</v>
      </c>
      <c r="AJ22" s="115"/>
      <c r="AK22" s="115">
        <v>255</v>
      </c>
      <c r="AL22" s="115"/>
      <c r="AM22" s="129">
        <f>AK22/AD21*100</f>
        <v>8.6646279306829754</v>
      </c>
      <c r="AN22" s="115">
        <f>+SUM(AO22,AQ22)</f>
        <v>1611</v>
      </c>
      <c r="AO22" s="129">
        <f>+SUM(C22)-SUM(K22)</f>
        <v>238</v>
      </c>
      <c r="AP22" s="115">
        <f>+ROUND(AO22/AN21*100,1)</f>
        <v>0.3</v>
      </c>
      <c r="AQ22" s="129">
        <f>+SUM(E22)-SUM(O22)</f>
        <v>1373</v>
      </c>
      <c r="AR22" s="115">
        <f>+ROUND(AQ22/AN21*100,1)</f>
        <v>1.5</v>
      </c>
    </row>
    <row r="23" spans="1:44" s="120" customFormat="1" ht="12" customHeight="1" x14ac:dyDescent="0.15">
      <c r="A23" s="132" t="s">
        <v>102</v>
      </c>
      <c r="B23" s="129">
        <f>SUM(C23,E23)</f>
        <v>63198</v>
      </c>
      <c r="C23" s="129">
        <f>41539+3223</f>
        <v>44762</v>
      </c>
      <c r="D23" s="129">
        <f>C23/B21*100</f>
        <v>45.104796453043129</v>
      </c>
      <c r="E23" s="129">
        <f>14005+4431</f>
        <v>18436</v>
      </c>
      <c r="F23" s="129">
        <f>E23/B21*100</f>
        <v>18.577186618299073</v>
      </c>
      <c r="G23" s="130"/>
      <c r="H23" s="115">
        <f>S23+AD23</f>
        <v>7654</v>
      </c>
      <c r="I23" s="131"/>
      <c r="J23" s="130"/>
      <c r="K23" s="115">
        <f>V23+AG23</f>
        <v>3223</v>
      </c>
      <c r="L23" s="131"/>
      <c r="M23" s="129">
        <f>K23/H21*100</f>
        <v>31.40713311245371</v>
      </c>
      <c r="N23" s="130"/>
      <c r="O23" s="115">
        <f>Z23+AK23</f>
        <v>4431</v>
      </c>
      <c r="P23" s="131"/>
      <c r="Q23" s="129">
        <f>O23/H21*100</f>
        <v>43.178717598908598</v>
      </c>
      <c r="R23" s="130"/>
      <c r="S23" s="115">
        <f>SUM(V23+Z23)</f>
        <v>5470</v>
      </c>
      <c r="T23" s="131"/>
      <c r="U23" s="130"/>
      <c r="V23" s="115">
        <v>1985</v>
      </c>
      <c r="W23" s="131"/>
      <c r="X23" s="129">
        <f>V23/S21*100</f>
        <v>27.12119141959284</v>
      </c>
      <c r="Y23" s="130"/>
      <c r="Z23" s="115">
        <v>3485</v>
      </c>
      <c r="AA23" s="115"/>
      <c r="AB23" s="129">
        <f>Z23/S21*100</f>
        <v>47.615794507446374</v>
      </c>
      <c r="AC23" s="130"/>
      <c r="AD23" s="115">
        <f>SUM(AG23+AK23)</f>
        <v>2184</v>
      </c>
      <c r="AE23" s="131"/>
      <c r="AF23" s="115"/>
      <c r="AG23" s="115">
        <v>1238</v>
      </c>
      <c r="AH23" s="115"/>
      <c r="AI23" s="129">
        <f>AG23/AD21*100</f>
        <v>42.065919130139314</v>
      </c>
      <c r="AJ23" s="115"/>
      <c r="AK23" s="115">
        <v>946</v>
      </c>
      <c r="AL23" s="115"/>
      <c r="AM23" s="129">
        <f>AK23/AD21*100</f>
        <v>32.144070676180768</v>
      </c>
      <c r="AN23" s="115">
        <f>+SUM(AO23,AQ23)</f>
        <v>55544</v>
      </c>
      <c r="AO23" s="129">
        <f>+SUM(C23)-SUM(K23)</f>
        <v>41539</v>
      </c>
      <c r="AP23" s="115">
        <f>+ROUND(AO23/AN21*100,1)</f>
        <v>46.7</v>
      </c>
      <c r="AQ23" s="129">
        <f>+SUM(E23)-SUM(O23)</f>
        <v>14005</v>
      </c>
      <c r="AR23" s="115">
        <f>+ROUND(AQ23/AN21*100,1)</f>
        <v>15.7</v>
      </c>
    </row>
    <row r="24" spans="1:44" s="120" customFormat="1" ht="12" customHeight="1" x14ac:dyDescent="0.15">
      <c r="A24" s="133" t="s">
        <v>116</v>
      </c>
      <c r="B24" s="134">
        <f>SUM(C24,E24)</f>
        <v>33946</v>
      </c>
      <c r="C24" s="134">
        <f>15955+6166+610</f>
        <v>22731</v>
      </c>
      <c r="D24" s="134">
        <f>C24/B21*100</f>
        <v>22.905078597339781</v>
      </c>
      <c r="E24" s="134">
        <f>8862+840+1513</f>
        <v>11215</v>
      </c>
      <c r="F24" s="134">
        <f>E24/B21*100</f>
        <v>11.300886739218058</v>
      </c>
      <c r="G24" s="135"/>
      <c r="H24" s="136">
        <f>S24+AD24</f>
        <v>2123</v>
      </c>
      <c r="I24" s="137"/>
      <c r="J24" s="135"/>
      <c r="K24" s="136">
        <f>V24+AG24</f>
        <v>610</v>
      </c>
      <c r="L24" s="137"/>
      <c r="M24" s="134">
        <f>K24/H21*100+1</f>
        <v>6.9442603780939383</v>
      </c>
      <c r="N24" s="135"/>
      <c r="O24" s="136">
        <f>Z24+AK24</f>
        <v>1513</v>
      </c>
      <c r="P24" s="137"/>
      <c r="Q24" s="134">
        <f>O24/H21*100-1</f>
        <v>13.743714675501851</v>
      </c>
      <c r="R24" s="135"/>
      <c r="S24" s="136">
        <f>SUM(V24+Z24)</f>
        <v>1638</v>
      </c>
      <c r="T24" s="137"/>
      <c r="U24" s="135"/>
      <c r="V24" s="136">
        <v>375</v>
      </c>
      <c r="W24" s="137"/>
      <c r="X24" s="134">
        <f>V24/S21*100</f>
        <v>5.1236507719633835</v>
      </c>
      <c r="Y24" s="135"/>
      <c r="Z24" s="136">
        <v>1263</v>
      </c>
      <c r="AA24" s="136"/>
      <c r="AB24" s="134">
        <f>Z24/S21*100+1</f>
        <v>18.256455799972674</v>
      </c>
      <c r="AC24" s="135"/>
      <c r="AD24" s="136">
        <f>SUM(AG24+AK24)</f>
        <v>485</v>
      </c>
      <c r="AE24" s="137"/>
      <c r="AF24" s="136"/>
      <c r="AG24" s="136">
        <v>235</v>
      </c>
      <c r="AH24" s="136"/>
      <c r="AI24" s="134">
        <f>AG24/AD21*100</f>
        <v>7.9850492694529391</v>
      </c>
      <c r="AJ24" s="136"/>
      <c r="AK24" s="136">
        <v>250</v>
      </c>
      <c r="AL24" s="136"/>
      <c r="AM24" s="134">
        <f>AK24/AD21*100</f>
        <v>8.4947332653754675</v>
      </c>
      <c r="AN24" s="134">
        <f>+SUM(AO24,AQ24)</f>
        <v>31823</v>
      </c>
      <c r="AO24" s="134">
        <f>+SUM(C24)-SUM(K24)</f>
        <v>22121</v>
      </c>
      <c r="AP24" s="136">
        <f>+ROUND(AO24/AN21*100,1)</f>
        <v>24.9</v>
      </c>
      <c r="AQ24" s="134">
        <f>+SUM(E24)-SUM(O24)</f>
        <v>9702</v>
      </c>
      <c r="AR24" s="136">
        <f>+ROUND(AQ24/AN21*100,1)</f>
        <v>10.9</v>
      </c>
    </row>
    <row r="25" spans="1:44" s="115" customFormat="1" ht="13.5" customHeight="1" x14ac:dyDescent="0.15">
      <c r="A25" s="115" t="s">
        <v>18</v>
      </c>
    </row>
    <row r="26" spans="1:44" x14ac:dyDescent="0.15">
      <c r="A26" s="115" t="s">
        <v>140</v>
      </c>
    </row>
    <row r="54" spans="11:15" x14ac:dyDescent="0.15">
      <c r="K54" s="115"/>
      <c r="O54" s="115"/>
    </row>
    <row r="55" spans="11:15" x14ac:dyDescent="0.15">
      <c r="K55" s="115"/>
      <c r="O55" s="115"/>
    </row>
    <row r="56" spans="11:15" x14ac:dyDescent="0.15">
      <c r="K56" s="115"/>
      <c r="O56" s="115"/>
    </row>
    <row r="57" spans="11:15" x14ac:dyDescent="0.15">
      <c r="K57" s="115"/>
      <c r="O57" s="115"/>
    </row>
    <row r="58" spans="11:15" x14ac:dyDescent="0.15">
      <c r="K58" s="115"/>
      <c r="O58" s="115"/>
    </row>
    <row r="59" spans="11:15" x14ac:dyDescent="0.15">
      <c r="K59" s="115"/>
      <c r="O59" s="115"/>
    </row>
    <row r="60" spans="11:15" x14ac:dyDescent="0.15">
      <c r="K60" s="115"/>
      <c r="O60" s="115"/>
    </row>
    <row r="61" spans="11:15" x14ac:dyDescent="0.15">
      <c r="K61" s="115"/>
      <c r="O61" s="115"/>
    </row>
    <row r="62" spans="11:15" x14ac:dyDescent="0.15">
      <c r="K62" s="115"/>
      <c r="O62" s="115"/>
    </row>
    <row r="63" spans="11:15" x14ac:dyDescent="0.15">
      <c r="K63" s="115"/>
      <c r="O63" s="115"/>
    </row>
    <row r="64" spans="11:15" x14ac:dyDescent="0.15">
      <c r="K64" s="115"/>
      <c r="O64" s="115"/>
    </row>
    <row r="65" spans="11:15" x14ac:dyDescent="0.15">
      <c r="K65" s="115"/>
      <c r="O65" s="115"/>
    </row>
    <row r="66" spans="11:15" x14ac:dyDescent="0.15">
      <c r="K66" s="115"/>
    </row>
  </sheetData>
  <mergeCells count="36">
    <mergeCell ref="A3:A6"/>
    <mergeCell ref="B3:F3"/>
    <mergeCell ref="G3:AM3"/>
    <mergeCell ref="AN3:AR3"/>
    <mergeCell ref="B4:B6"/>
    <mergeCell ref="C4:D4"/>
    <mergeCell ref="E4:F4"/>
    <mergeCell ref="G4:Q4"/>
    <mergeCell ref="R4:AB4"/>
    <mergeCell ref="AC4:AM4"/>
    <mergeCell ref="AN4:AN6"/>
    <mergeCell ref="AO4:AP4"/>
    <mergeCell ref="AQ4:AR4"/>
    <mergeCell ref="C5:C6"/>
    <mergeCell ref="D5:D6"/>
    <mergeCell ref="E5:E6"/>
    <mergeCell ref="F5:F6"/>
    <mergeCell ref="G5:I6"/>
    <mergeCell ref="J5:M5"/>
    <mergeCell ref="N5:Q5"/>
    <mergeCell ref="AO5:AO6"/>
    <mergeCell ref="AP5:AP6"/>
    <mergeCell ref="AQ5:AQ6"/>
    <mergeCell ref="AR5:AR6"/>
    <mergeCell ref="J6:L6"/>
    <mergeCell ref="N6:P6"/>
    <mergeCell ref="U6:W6"/>
    <mergeCell ref="Y6:AA6"/>
    <mergeCell ref="AF6:AH6"/>
    <mergeCell ref="AJ6:AL6"/>
    <mergeCell ref="R5:T6"/>
    <mergeCell ref="U5:X5"/>
    <mergeCell ref="Y5:AB5"/>
    <mergeCell ref="AC5:AE6"/>
    <mergeCell ref="AF5:AI5"/>
    <mergeCell ref="AJ5:AM5"/>
  </mergeCells>
  <phoneticPr fontId="2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0209-1B98-4B8B-B7E3-E1C42053E390}">
  <dimension ref="A1:P263"/>
  <sheetViews>
    <sheetView zoomScale="140" zoomScaleNormal="140" workbookViewId="0">
      <selection sqref="A1:XFD1048576"/>
    </sheetView>
  </sheetViews>
  <sheetFormatPr defaultColWidth="12.5" defaultRowHeight="13.5" x14ac:dyDescent="0.15"/>
  <cols>
    <col min="1" max="1" width="11.5" style="91" customWidth="1"/>
    <col min="2" max="6" width="6" style="91" customWidth="1"/>
    <col min="7" max="7" width="7.125" style="91" customWidth="1"/>
    <col min="8" max="8" width="11.5" style="91" customWidth="1"/>
    <col min="9" max="9" width="8.25" style="91" customWidth="1"/>
    <col min="10" max="14" width="6" style="91" customWidth="1"/>
    <col min="15" max="15" width="7.125" style="91" customWidth="1"/>
    <col min="16" max="16384" width="12.5" style="91"/>
  </cols>
  <sheetData>
    <row r="1" spans="1:16" ht="14.25" x14ac:dyDescent="0.15">
      <c r="A1" s="42" t="s">
        <v>117</v>
      </c>
    </row>
    <row r="2" spans="1:16" x14ac:dyDescent="0.15">
      <c r="F2" s="43" t="s">
        <v>149</v>
      </c>
      <c r="G2" s="80"/>
    </row>
    <row r="3" spans="1:16" s="43" customFormat="1" ht="7.5" customHeight="1" x14ac:dyDescent="0.15">
      <c r="A3" s="162"/>
      <c r="B3" s="93" t="s">
        <v>19</v>
      </c>
      <c r="C3" s="93"/>
      <c r="D3" s="94"/>
      <c r="E3" s="95"/>
      <c r="F3" s="93"/>
      <c r="G3" s="96"/>
      <c r="I3" s="162"/>
      <c r="J3" s="93" t="s">
        <v>19</v>
      </c>
      <c r="K3" s="93"/>
      <c r="L3" s="94"/>
      <c r="M3" s="95"/>
      <c r="N3" s="93"/>
      <c r="O3" s="96"/>
    </row>
    <row r="4" spans="1:16" s="43" customFormat="1" ht="7.5" customHeight="1" x14ac:dyDescent="0.15">
      <c r="A4" s="181"/>
      <c r="B4" s="98"/>
      <c r="C4" s="98" t="s">
        <v>78</v>
      </c>
      <c r="D4" s="98" t="s">
        <v>20</v>
      </c>
      <c r="E4" s="182" t="s">
        <v>21</v>
      </c>
      <c r="F4" s="98" t="s">
        <v>79</v>
      </c>
      <c r="G4" s="96"/>
      <c r="I4" s="181"/>
      <c r="J4" s="98"/>
      <c r="K4" s="98" t="s">
        <v>78</v>
      </c>
      <c r="L4" s="98" t="s">
        <v>20</v>
      </c>
      <c r="M4" s="184" t="s">
        <v>21</v>
      </c>
      <c r="N4" s="98" t="s">
        <v>79</v>
      </c>
      <c r="O4" s="96"/>
    </row>
    <row r="5" spans="1:16" s="43" customFormat="1" ht="7.5" customHeight="1" x14ac:dyDescent="0.15">
      <c r="A5" s="168"/>
      <c r="B5" s="100" t="s">
        <v>22</v>
      </c>
      <c r="C5" s="100"/>
      <c r="D5" s="100"/>
      <c r="E5" s="183"/>
      <c r="F5" s="100"/>
      <c r="G5" s="96"/>
      <c r="I5" s="168"/>
      <c r="J5" s="100" t="s">
        <v>22</v>
      </c>
      <c r="K5" s="100"/>
      <c r="L5" s="100"/>
      <c r="M5" s="183"/>
      <c r="N5" s="100"/>
      <c r="O5" s="96"/>
    </row>
    <row r="6" spans="1:16" s="43" customFormat="1" ht="3.75" customHeight="1" x14ac:dyDescent="0.15">
      <c r="A6" s="46"/>
      <c r="B6" s="47"/>
      <c r="C6" s="47"/>
      <c r="D6" s="47"/>
      <c r="E6" s="47"/>
      <c r="F6" s="47"/>
      <c r="G6" s="101"/>
      <c r="I6" s="97"/>
      <c r="J6" s="98"/>
      <c r="K6" s="98"/>
      <c r="L6" s="98"/>
      <c r="M6" s="98"/>
      <c r="N6" s="98"/>
      <c r="O6" s="96"/>
    </row>
    <row r="7" spans="1:16" s="43" customFormat="1" ht="11.25" customHeight="1" x14ac:dyDescent="0.15">
      <c r="A7" s="61" t="s">
        <v>23</v>
      </c>
      <c r="B7" s="52" t="s">
        <v>90</v>
      </c>
      <c r="C7" s="22">
        <f>SUM(C12,C17,C22,C27,C32,C37,K7,K12,K17,K22,K27,K32,K37)</f>
        <v>99240</v>
      </c>
      <c r="D7" s="22">
        <f>SUM(D12,D17,D22,D27,D32,D37,L7,L12,L17,L22,L27,L32,L37)</f>
        <v>10262</v>
      </c>
      <c r="E7" s="102">
        <f>D7/C7*100</f>
        <v>10.340588472390165</v>
      </c>
      <c r="F7" s="20">
        <f>SUM(F12,F17,F22,F27,F32,F37,N7,N12,N17,N22,N27,N32,N37)</f>
        <v>88978</v>
      </c>
      <c r="G7" s="103"/>
      <c r="H7" s="43" t="s">
        <v>80</v>
      </c>
      <c r="I7" s="61" t="s">
        <v>28</v>
      </c>
      <c r="J7" s="52" t="s">
        <v>90</v>
      </c>
      <c r="K7" s="22">
        <f>+SUM(K8:K10)</f>
        <v>7841</v>
      </c>
      <c r="L7" s="22">
        <f>+SUM(L8:L10)</f>
        <v>778</v>
      </c>
      <c r="M7" s="102">
        <f>L7/K7*100</f>
        <v>9.9222038005356463</v>
      </c>
      <c r="N7" s="20">
        <f>SUM(N8:N10)</f>
        <v>7063</v>
      </c>
      <c r="O7" s="103"/>
      <c r="P7" s="43" t="s">
        <v>80</v>
      </c>
    </row>
    <row r="8" spans="1:16" s="43" customFormat="1" ht="11.25" customHeight="1" x14ac:dyDescent="0.15">
      <c r="A8" s="61"/>
      <c r="B8" s="52" t="s">
        <v>103</v>
      </c>
      <c r="C8" s="22">
        <f>SUM(C13,C18,C23,C28,C33,C38,K8,K13,K18,K23,K28,K33,K38)</f>
        <v>2096</v>
      </c>
      <c r="D8" s="22">
        <f t="shared" ref="C8:D10" si="0">SUM(D13,D18,D23,D28,D33,D38,L8,L13,L18,L23,L28,L33,L38)</f>
        <v>485</v>
      </c>
      <c r="E8" s="102">
        <f t="shared" ref="E8:E15" si="1">D8/C8*100</f>
        <v>23.139312977099237</v>
      </c>
      <c r="F8" s="20">
        <f>SUM(F13,F18,F23,F28,F33,F38,N8,N13,N18,N23,N28,N33,N38)</f>
        <v>1611</v>
      </c>
      <c r="G8" s="103"/>
      <c r="I8" s="61"/>
      <c r="J8" s="52" t="s">
        <v>103</v>
      </c>
      <c r="K8" s="22">
        <v>118</v>
      </c>
      <c r="L8" s="22">
        <f>SUM(K8-N8)</f>
        <v>30</v>
      </c>
      <c r="M8" s="102">
        <f>L8/K8*100</f>
        <v>25.423728813559322</v>
      </c>
      <c r="N8" s="22">
        <v>88</v>
      </c>
      <c r="O8" s="103"/>
    </row>
    <row r="9" spans="1:16" s="43" customFormat="1" ht="11.25" customHeight="1" x14ac:dyDescent="0.15">
      <c r="A9" s="61"/>
      <c r="B9" s="52" t="s">
        <v>102</v>
      </c>
      <c r="C9" s="22">
        <f>SUM(C14,C19,C24,C29,C34,C39,K9,K14,K19,K24,K29,K34,K39)</f>
        <v>63198</v>
      </c>
      <c r="D9" s="22">
        <f t="shared" si="0"/>
        <v>7654</v>
      </c>
      <c r="E9" s="102">
        <f t="shared" si="1"/>
        <v>12.111142757682206</v>
      </c>
      <c r="F9" s="20">
        <f>SUM(F14,F19,F24,F29,F34,F39,N9,N14,N19,N24,N29,N34,N39)</f>
        <v>55544</v>
      </c>
      <c r="G9" s="103"/>
      <c r="I9" s="61"/>
      <c r="J9" s="52" t="s">
        <v>102</v>
      </c>
      <c r="K9" s="22">
        <v>6856</v>
      </c>
      <c r="L9" s="22">
        <f>SUM(K9-N9)</f>
        <v>681</v>
      </c>
      <c r="M9" s="102">
        <f>L9/K9*100</f>
        <v>9.9329054842473745</v>
      </c>
      <c r="N9" s="22">
        <v>6175</v>
      </c>
      <c r="O9" s="103"/>
    </row>
    <row r="10" spans="1:16" s="43" customFormat="1" ht="11.25" customHeight="1" x14ac:dyDescent="0.15">
      <c r="A10" s="61"/>
      <c r="B10" s="52" t="s">
        <v>10</v>
      </c>
      <c r="C10" s="22">
        <f t="shared" si="0"/>
        <v>33946</v>
      </c>
      <c r="D10" s="22">
        <f t="shared" si="0"/>
        <v>2123</v>
      </c>
      <c r="E10" s="102">
        <f t="shared" si="1"/>
        <v>6.2540505508749193</v>
      </c>
      <c r="F10" s="20">
        <f>SUM(F15,F20,F25,F30,F35,F40,N10,N15,N20,N25,N30,N35,N40)</f>
        <v>31823</v>
      </c>
      <c r="G10" s="103"/>
      <c r="I10" s="61"/>
      <c r="J10" s="52" t="s">
        <v>10</v>
      </c>
      <c r="K10" s="22">
        <v>867</v>
      </c>
      <c r="L10" s="22">
        <f>SUM(K10-N10)</f>
        <v>67</v>
      </c>
      <c r="M10" s="102">
        <f>L10/K10*100</f>
        <v>7.7277970011534025</v>
      </c>
      <c r="N10" s="22">
        <v>800</v>
      </c>
      <c r="O10" s="103"/>
    </row>
    <row r="11" spans="1:16" s="43" customFormat="1" ht="3.75" customHeight="1" thickBot="1" x14ac:dyDescent="0.2">
      <c r="A11" s="104"/>
      <c r="B11" s="105"/>
      <c r="C11" s="25"/>
      <c r="D11" s="25"/>
      <c r="E11" s="106"/>
      <c r="F11" s="25"/>
      <c r="G11" s="103"/>
      <c r="I11" s="61"/>
      <c r="J11" s="52"/>
      <c r="K11" s="22"/>
      <c r="L11" s="22"/>
      <c r="M11" s="64"/>
      <c r="N11" s="22"/>
      <c r="O11" s="103"/>
    </row>
    <row r="12" spans="1:16" s="43" customFormat="1" ht="11.25" customHeight="1" thickTop="1" x14ac:dyDescent="0.15">
      <c r="A12" s="61" t="s">
        <v>24</v>
      </c>
      <c r="B12" s="52" t="s">
        <v>90</v>
      </c>
      <c r="C12" s="22">
        <f>+SUM(C13:C15)</f>
        <v>39079</v>
      </c>
      <c r="D12" s="22">
        <f>+SUM(D13:D15)</f>
        <v>3909</v>
      </c>
      <c r="E12" s="102">
        <f t="shared" si="1"/>
        <v>10.002814811023823</v>
      </c>
      <c r="F12" s="20">
        <f>SUM(F13:F15)</f>
        <v>35170</v>
      </c>
      <c r="G12" s="103"/>
      <c r="H12" s="43" t="s">
        <v>80</v>
      </c>
      <c r="I12" s="61" t="s">
        <v>31</v>
      </c>
      <c r="J12" s="52" t="s">
        <v>90</v>
      </c>
      <c r="K12" s="22">
        <f>+SUM(K13:K15)</f>
        <v>603</v>
      </c>
      <c r="L12" s="22">
        <f>+SUM(L13:L15)</f>
        <v>66</v>
      </c>
      <c r="M12" s="102">
        <f>L12/K12*100</f>
        <v>10.945273631840797</v>
      </c>
      <c r="N12" s="20">
        <f>SUM(N13:N15)</f>
        <v>537</v>
      </c>
      <c r="O12" s="103"/>
      <c r="P12" s="43" t="s">
        <v>80</v>
      </c>
    </row>
    <row r="13" spans="1:16" s="43" customFormat="1" ht="11.25" customHeight="1" x14ac:dyDescent="0.15">
      <c r="A13" s="61"/>
      <c r="B13" s="52" t="s">
        <v>103</v>
      </c>
      <c r="C13" s="22">
        <v>1045</v>
      </c>
      <c r="D13" s="22">
        <f>SUM(C13-F13)</f>
        <v>229</v>
      </c>
      <c r="E13" s="102">
        <f t="shared" si="1"/>
        <v>21.913875598086126</v>
      </c>
      <c r="F13" s="20">
        <v>816</v>
      </c>
      <c r="G13" s="103"/>
      <c r="I13" s="61"/>
      <c r="J13" s="52" t="s">
        <v>103</v>
      </c>
      <c r="K13" s="22">
        <v>7</v>
      </c>
      <c r="L13" s="22">
        <f>SUM(K13-N13)</f>
        <v>3</v>
      </c>
      <c r="M13" s="102">
        <f>L13/K13*100</f>
        <v>42.857142857142854</v>
      </c>
      <c r="N13" s="20">
        <v>4</v>
      </c>
      <c r="O13" s="103"/>
    </row>
    <row r="14" spans="1:16" s="43" customFormat="1" ht="11.25" customHeight="1" x14ac:dyDescent="0.15">
      <c r="A14" s="61"/>
      <c r="B14" s="52" t="s">
        <v>102</v>
      </c>
      <c r="C14" s="22">
        <v>22954</v>
      </c>
      <c r="D14" s="22">
        <f>SUM(C14-F14)</f>
        <v>2731</v>
      </c>
      <c r="E14" s="102">
        <f t="shared" si="1"/>
        <v>11.897708460399059</v>
      </c>
      <c r="F14" s="20">
        <v>20223</v>
      </c>
      <c r="G14" s="103"/>
      <c r="I14" s="61"/>
      <c r="J14" s="52" t="s">
        <v>102</v>
      </c>
      <c r="K14" s="22">
        <v>436</v>
      </c>
      <c r="L14" s="22">
        <f>SUM(K14-N14)</f>
        <v>53</v>
      </c>
      <c r="M14" s="102">
        <f>L14/K14*100</f>
        <v>12.155963302752294</v>
      </c>
      <c r="N14" s="20">
        <v>383</v>
      </c>
      <c r="O14" s="103"/>
    </row>
    <row r="15" spans="1:16" s="43" customFormat="1" ht="11.25" customHeight="1" x14ac:dyDescent="0.15">
      <c r="A15" s="61"/>
      <c r="B15" s="52" t="s">
        <v>10</v>
      </c>
      <c r="C15" s="22">
        <v>15080</v>
      </c>
      <c r="D15" s="22">
        <f>SUM(C15-F15)</f>
        <v>949</v>
      </c>
      <c r="E15" s="102">
        <f t="shared" si="1"/>
        <v>6.2931034482758621</v>
      </c>
      <c r="F15" s="20">
        <v>14131</v>
      </c>
      <c r="G15" s="103"/>
      <c r="I15" s="61"/>
      <c r="J15" s="52" t="s">
        <v>10</v>
      </c>
      <c r="K15" s="22">
        <v>160</v>
      </c>
      <c r="L15" s="22">
        <f>SUM(K15-N15)</f>
        <v>10</v>
      </c>
      <c r="M15" s="102">
        <f>L15/K15*100</f>
        <v>6.25</v>
      </c>
      <c r="N15" s="20">
        <v>150</v>
      </c>
      <c r="O15" s="103"/>
    </row>
    <row r="16" spans="1:16" s="43" customFormat="1" ht="4.5" customHeight="1" x14ac:dyDescent="0.15">
      <c r="A16" s="61"/>
      <c r="B16" s="52"/>
      <c r="C16" s="22"/>
      <c r="D16" s="22"/>
      <c r="E16" s="64"/>
      <c r="F16" s="22"/>
      <c r="G16" s="103"/>
      <c r="I16" s="57"/>
      <c r="J16" s="58"/>
      <c r="K16" s="58"/>
      <c r="L16" s="58"/>
      <c r="M16" s="58"/>
      <c r="N16" s="58"/>
      <c r="O16" s="103"/>
    </row>
    <row r="17" spans="1:16" s="43" customFormat="1" ht="11.25" customHeight="1" x14ac:dyDescent="0.15">
      <c r="A17" s="61" t="s">
        <v>26</v>
      </c>
      <c r="B17" s="52" t="s">
        <v>90</v>
      </c>
      <c r="C17" s="22">
        <f>+SUM(C18:C20)</f>
        <v>8681</v>
      </c>
      <c r="D17" s="22">
        <f>+SUM(D18:D20)</f>
        <v>818</v>
      </c>
      <c r="E17" s="102">
        <f>D17/C17*100</f>
        <v>9.4228775486695096</v>
      </c>
      <c r="F17" s="20">
        <f>SUM(F18:F20)</f>
        <v>7863</v>
      </c>
      <c r="G17" s="103"/>
      <c r="I17" s="43" t="s">
        <v>141</v>
      </c>
      <c r="P17" s="43" t="s">
        <v>80</v>
      </c>
    </row>
    <row r="18" spans="1:16" s="43" customFormat="1" ht="11.25" customHeight="1" x14ac:dyDescent="0.15">
      <c r="A18" s="61"/>
      <c r="B18" s="52" t="s">
        <v>103</v>
      </c>
      <c r="C18" s="22">
        <v>122</v>
      </c>
      <c r="D18" s="22">
        <f>SUM(C18-F18)</f>
        <v>28</v>
      </c>
      <c r="E18" s="102">
        <f>D18/C18*100</f>
        <v>22.950819672131146</v>
      </c>
      <c r="F18" s="20">
        <v>94</v>
      </c>
      <c r="G18" s="103"/>
    </row>
    <row r="19" spans="1:16" s="43" customFormat="1" ht="11.25" customHeight="1" x14ac:dyDescent="0.15">
      <c r="A19" s="61"/>
      <c r="B19" s="52" t="s">
        <v>102</v>
      </c>
      <c r="C19" s="22">
        <v>6402</v>
      </c>
      <c r="D19" s="22">
        <f>SUM(C19-F19)</f>
        <v>690</v>
      </c>
      <c r="E19" s="102">
        <f>D19/C19*100</f>
        <v>10.777881911902529</v>
      </c>
      <c r="F19" s="20">
        <v>5712</v>
      </c>
      <c r="G19" s="103"/>
      <c r="J19" s="50"/>
      <c r="K19" s="24"/>
      <c r="L19" s="24"/>
      <c r="M19" s="107"/>
      <c r="N19" s="21"/>
      <c r="O19" s="108"/>
    </row>
    <row r="20" spans="1:16" s="43" customFormat="1" ht="11.25" customHeight="1" x14ac:dyDescent="0.15">
      <c r="A20" s="61"/>
      <c r="B20" s="52" t="s">
        <v>10</v>
      </c>
      <c r="C20" s="22">
        <v>2157</v>
      </c>
      <c r="D20" s="22">
        <f>SUM(C20-F20)</f>
        <v>100</v>
      </c>
      <c r="E20" s="102">
        <f>D20/C20*100</f>
        <v>4.6360686138154845</v>
      </c>
      <c r="F20" s="20">
        <v>2057</v>
      </c>
      <c r="G20" s="103"/>
      <c r="J20" s="50"/>
      <c r="K20" s="24"/>
      <c r="L20" s="24"/>
      <c r="M20" s="107"/>
      <c r="N20" s="21"/>
      <c r="O20" s="108"/>
    </row>
    <row r="21" spans="1:16" s="43" customFormat="1" ht="4.5" customHeight="1" x14ac:dyDescent="0.15">
      <c r="A21" s="61"/>
      <c r="B21" s="52"/>
      <c r="C21" s="22"/>
      <c r="D21" s="22"/>
      <c r="E21" s="64"/>
      <c r="F21" s="22"/>
      <c r="G21" s="103"/>
      <c r="J21" s="50"/>
      <c r="K21" s="24"/>
      <c r="L21" s="24"/>
      <c r="M21" s="109"/>
      <c r="N21" s="24"/>
      <c r="O21" s="108"/>
    </row>
    <row r="22" spans="1:16" s="43" customFormat="1" ht="10.5" customHeight="1" x14ac:dyDescent="0.15">
      <c r="A22" s="61" t="s">
        <v>27</v>
      </c>
      <c r="B22" s="52" t="s">
        <v>90</v>
      </c>
      <c r="C22" s="22">
        <f>+SUM(C23:C25)</f>
        <v>2013</v>
      </c>
      <c r="D22" s="22">
        <f>+SUM(D23:D25)</f>
        <v>213</v>
      </c>
      <c r="E22" s="102">
        <f>D22/C22*100</f>
        <v>10.581222056631892</v>
      </c>
      <c r="F22" s="20">
        <f>SUM(F23:F25)</f>
        <v>1800</v>
      </c>
      <c r="G22" s="103"/>
      <c r="H22" s="43" t="s">
        <v>80</v>
      </c>
      <c r="J22" s="50"/>
      <c r="K22" s="24"/>
      <c r="L22" s="24"/>
      <c r="M22" s="107"/>
      <c r="N22" s="21"/>
      <c r="O22" s="108"/>
      <c r="P22" s="43" t="s">
        <v>80</v>
      </c>
    </row>
    <row r="23" spans="1:16" s="43" customFormat="1" ht="10.5" customHeight="1" x14ac:dyDescent="0.15">
      <c r="A23" s="61"/>
      <c r="B23" s="52" t="s">
        <v>103</v>
      </c>
      <c r="C23" s="22">
        <v>28</v>
      </c>
      <c r="D23" s="22">
        <f>SUM(C23-F23)</f>
        <v>4</v>
      </c>
      <c r="E23" s="102">
        <f>D23/C23*100</f>
        <v>14.285714285714285</v>
      </c>
      <c r="F23" s="20">
        <v>24</v>
      </c>
      <c r="G23" s="103"/>
      <c r="J23" s="50"/>
      <c r="K23" s="24"/>
      <c r="L23" s="24"/>
      <c r="M23" s="107"/>
      <c r="N23" s="21"/>
      <c r="O23" s="108"/>
    </row>
    <row r="24" spans="1:16" s="43" customFormat="1" ht="10.5" customHeight="1" x14ac:dyDescent="0.15">
      <c r="A24" s="61"/>
      <c r="B24" s="52" t="s">
        <v>102</v>
      </c>
      <c r="C24" s="22">
        <v>1470</v>
      </c>
      <c r="D24" s="22">
        <f>SUM(C24-F24)</f>
        <v>166</v>
      </c>
      <c r="E24" s="102">
        <f>D24/C24*100</f>
        <v>11.292517006802722</v>
      </c>
      <c r="F24" s="20">
        <v>1304</v>
      </c>
      <c r="G24" s="103"/>
      <c r="J24" s="50"/>
      <c r="K24" s="24"/>
      <c r="L24" s="24"/>
      <c r="M24" s="107"/>
      <c r="N24" s="21"/>
      <c r="O24" s="108"/>
    </row>
    <row r="25" spans="1:16" s="43" customFormat="1" ht="10.5" customHeight="1" x14ac:dyDescent="0.15">
      <c r="A25" s="61"/>
      <c r="B25" s="52" t="s">
        <v>10</v>
      </c>
      <c r="C25" s="22">
        <v>515</v>
      </c>
      <c r="D25" s="22">
        <f>SUM(C25-F25)</f>
        <v>43</v>
      </c>
      <c r="E25" s="102">
        <f>D25/C25*100</f>
        <v>8.349514563106796</v>
      </c>
      <c r="F25" s="20">
        <v>472</v>
      </c>
      <c r="G25" s="103"/>
      <c r="J25" s="50"/>
      <c r="K25" s="24"/>
      <c r="L25" s="24"/>
      <c r="M25" s="107"/>
      <c r="N25" s="21"/>
      <c r="O25" s="108"/>
    </row>
    <row r="26" spans="1:16" s="43" customFormat="1" ht="4.5" customHeight="1" x14ac:dyDescent="0.15">
      <c r="A26" s="61"/>
      <c r="B26" s="52"/>
      <c r="C26" s="22"/>
      <c r="D26" s="22"/>
      <c r="E26" s="64"/>
      <c r="F26" s="22"/>
      <c r="G26" s="103"/>
      <c r="J26" s="50"/>
      <c r="K26" s="24"/>
      <c r="L26" s="24"/>
      <c r="M26" s="109"/>
      <c r="N26" s="24"/>
      <c r="O26" s="108"/>
    </row>
    <row r="27" spans="1:16" s="43" customFormat="1" ht="11.25" customHeight="1" x14ac:dyDescent="0.15">
      <c r="A27" s="61" t="s">
        <v>29</v>
      </c>
      <c r="B27" s="52" t="s">
        <v>90</v>
      </c>
      <c r="C27" s="22">
        <f>+SUM(C28:C30)</f>
        <v>8879</v>
      </c>
      <c r="D27" s="22">
        <f>+SUM(D28:D30)</f>
        <v>936</v>
      </c>
      <c r="E27" s="102">
        <f>D27/C27*100</f>
        <v>10.54172767203514</v>
      </c>
      <c r="F27" s="20">
        <f>SUM(F28:F30)</f>
        <v>7943</v>
      </c>
      <c r="G27" s="103"/>
      <c r="H27" s="43" t="s">
        <v>80</v>
      </c>
      <c r="J27" s="50"/>
      <c r="K27" s="24"/>
      <c r="L27" s="24"/>
      <c r="M27" s="107"/>
      <c r="N27" s="21"/>
      <c r="O27" s="108"/>
      <c r="P27" s="43" t="s">
        <v>80</v>
      </c>
    </row>
    <row r="28" spans="1:16" s="43" customFormat="1" ht="11.25" customHeight="1" x14ac:dyDescent="0.15">
      <c r="A28" s="61"/>
      <c r="B28" s="52" t="s">
        <v>103</v>
      </c>
      <c r="C28" s="22">
        <v>98</v>
      </c>
      <c r="D28" s="22">
        <f>SUM(C28-F28)</f>
        <v>27</v>
      </c>
      <c r="E28" s="102">
        <f>D28/C28*100</f>
        <v>27.551020408163261</v>
      </c>
      <c r="F28" s="20">
        <v>71</v>
      </c>
      <c r="G28" s="103"/>
      <c r="J28" s="50"/>
      <c r="K28" s="24"/>
      <c r="L28" s="24"/>
      <c r="M28" s="107"/>
      <c r="N28" s="21"/>
      <c r="O28" s="108"/>
    </row>
    <row r="29" spans="1:16" s="43" customFormat="1" ht="11.25" customHeight="1" x14ac:dyDescent="0.15">
      <c r="A29" s="61"/>
      <c r="B29" s="52" t="s">
        <v>102</v>
      </c>
      <c r="C29" s="22">
        <v>5735</v>
      </c>
      <c r="D29" s="22">
        <f>SUM(C29-F29)</f>
        <v>712</v>
      </c>
      <c r="E29" s="102">
        <f>D29/C29*100</f>
        <v>12.414995640802093</v>
      </c>
      <c r="F29" s="20">
        <v>5023</v>
      </c>
      <c r="G29" s="103"/>
      <c r="J29" s="50"/>
      <c r="K29" s="24"/>
      <c r="L29" s="24"/>
      <c r="M29" s="107"/>
      <c r="N29" s="21"/>
      <c r="O29" s="108"/>
    </row>
    <row r="30" spans="1:16" s="43" customFormat="1" ht="11.25" customHeight="1" x14ac:dyDescent="0.15">
      <c r="A30" s="61"/>
      <c r="B30" s="52" t="s">
        <v>10</v>
      </c>
      <c r="C30" s="22">
        <v>3046</v>
      </c>
      <c r="D30" s="22">
        <f>SUM(C30-F30)</f>
        <v>197</v>
      </c>
      <c r="E30" s="102">
        <f>D30/C30*100</f>
        <v>6.4674983585029544</v>
      </c>
      <c r="F30" s="20">
        <v>2849</v>
      </c>
      <c r="G30" s="103"/>
      <c r="J30" s="50"/>
      <c r="K30" s="24"/>
      <c r="L30" s="24"/>
      <c r="M30" s="107"/>
      <c r="N30" s="21"/>
      <c r="O30" s="108"/>
    </row>
    <row r="31" spans="1:16" s="43" customFormat="1" ht="4.5" customHeight="1" x14ac:dyDescent="0.15">
      <c r="A31" s="61"/>
      <c r="B31" s="52"/>
      <c r="C31" s="22"/>
      <c r="D31" s="22"/>
      <c r="E31" s="64"/>
      <c r="F31" s="22"/>
      <c r="G31" s="103"/>
      <c r="J31" s="50"/>
      <c r="K31" s="24"/>
      <c r="L31" s="24"/>
      <c r="M31" s="109"/>
      <c r="N31" s="24"/>
      <c r="O31" s="108"/>
    </row>
    <row r="32" spans="1:16" s="43" customFormat="1" ht="11.25" customHeight="1" x14ac:dyDescent="0.15">
      <c r="A32" s="61" t="s">
        <v>30</v>
      </c>
      <c r="B32" s="52" t="s">
        <v>90</v>
      </c>
      <c r="C32" s="22">
        <f>+SUM(C33:C35)</f>
        <v>26003</v>
      </c>
      <c r="D32" s="22">
        <f>+SUM(D33:D35)</f>
        <v>2882</v>
      </c>
      <c r="E32" s="102">
        <f>D32/C32*100</f>
        <v>11.083336538091759</v>
      </c>
      <c r="F32" s="20">
        <f>SUM(F33:F35)</f>
        <v>23121</v>
      </c>
      <c r="G32" s="103"/>
      <c r="H32" s="43" t="s">
        <v>80</v>
      </c>
      <c r="J32" s="50"/>
      <c r="K32" s="24"/>
      <c r="L32" s="24"/>
      <c r="M32" s="107"/>
      <c r="N32" s="21"/>
      <c r="O32" s="108"/>
      <c r="P32" s="43" t="s">
        <v>80</v>
      </c>
    </row>
    <row r="33" spans="1:16" s="43" customFormat="1" ht="11.25" customHeight="1" x14ac:dyDescent="0.15">
      <c r="A33" s="61"/>
      <c r="B33" s="52" t="s">
        <v>103</v>
      </c>
      <c r="C33" s="22">
        <v>559</v>
      </c>
      <c r="D33" s="22">
        <f>SUM(C33-F33)</f>
        <v>139</v>
      </c>
      <c r="E33" s="102">
        <f>D33/C33*100</f>
        <v>24.865831842576029</v>
      </c>
      <c r="F33" s="20">
        <v>420</v>
      </c>
      <c r="G33" s="103"/>
      <c r="J33" s="50"/>
      <c r="K33" s="24"/>
      <c r="L33" s="24"/>
      <c r="M33" s="107"/>
      <c r="N33" s="21"/>
      <c r="O33" s="108"/>
    </row>
    <row r="34" spans="1:16" s="43" customFormat="1" ht="11.25" customHeight="1" x14ac:dyDescent="0.15">
      <c r="A34" s="61"/>
      <c r="B34" s="52" t="s">
        <v>102</v>
      </c>
      <c r="C34" s="22">
        <v>15093</v>
      </c>
      <c r="D34" s="22">
        <f>SUM(C34-F34)</f>
        <v>2062</v>
      </c>
      <c r="E34" s="102">
        <f>D34/C34*100</f>
        <v>13.661962499171802</v>
      </c>
      <c r="F34" s="20">
        <v>13031</v>
      </c>
      <c r="G34" s="103"/>
      <c r="J34" s="50"/>
      <c r="K34" s="24"/>
      <c r="L34" s="24"/>
      <c r="M34" s="107"/>
      <c r="N34" s="21"/>
      <c r="O34" s="108"/>
    </row>
    <row r="35" spans="1:16" s="43" customFormat="1" ht="11.25" customHeight="1" x14ac:dyDescent="0.15">
      <c r="A35" s="61"/>
      <c r="B35" s="52" t="s">
        <v>10</v>
      </c>
      <c r="C35" s="22">
        <v>10351</v>
      </c>
      <c r="D35" s="22">
        <f>SUM(C35-F35)</f>
        <v>681</v>
      </c>
      <c r="E35" s="102">
        <f>D35/C35*100</f>
        <v>6.5790744855569514</v>
      </c>
      <c r="F35" s="20">
        <v>9670</v>
      </c>
      <c r="G35" s="103"/>
      <c r="J35" s="50"/>
      <c r="K35" s="24"/>
      <c r="L35" s="24"/>
      <c r="M35" s="107"/>
      <c r="N35" s="21"/>
      <c r="O35" s="108"/>
    </row>
    <row r="36" spans="1:16" s="43" customFormat="1" ht="4.5" customHeight="1" x14ac:dyDescent="0.15">
      <c r="A36" s="61"/>
      <c r="B36" s="52"/>
      <c r="C36" s="22"/>
      <c r="D36" s="22"/>
      <c r="E36" s="64"/>
      <c r="F36" s="22"/>
      <c r="G36" s="103"/>
      <c r="J36" s="50"/>
      <c r="K36" s="24"/>
      <c r="L36" s="24"/>
      <c r="M36" s="109"/>
      <c r="N36" s="24"/>
      <c r="O36" s="108"/>
    </row>
    <row r="37" spans="1:16" s="43" customFormat="1" ht="11.25" customHeight="1" x14ac:dyDescent="0.15">
      <c r="A37" s="61" t="s">
        <v>25</v>
      </c>
      <c r="B37" s="52" t="s">
        <v>90</v>
      </c>
      <c r="C37" s="22">
        <f>+SUM(C38:C40)</f>
        <v>6141</v>
      </c>
      <c r="D37" s="22">
        <f>+SUM(D38:D40)</f>
        <v>660</v>
      </c>
      <c r="E37" s="102">
        <f>D37/C37*100</f>
        <v>10.747435271128481</v>
      </c>
      <c r="F37" s="20">
        <f>SUM(F38:F40)</f>
        <v>5481</v>
      </c>
      <c r="G37" s="103"/>
      <c r="H37" s="43" t="s">
        <v>80</v>
      </c>
      <c r="J37" s="50"/>
      <c r="K37" s="24"/>
      <c r="L37" s="24"/>
      <c r="M37" s="107"/>
      <c r="N37" s="21"/>
      <c r="O37" s="108"/>
      <c r="P37" s="43" t="s">
        <v>80</v>
      </c>
    </row>
    <row r="38" spans="1:16" s="43" customFormat="1" ht="11.25" customHeight="1" x14ac:dyDescent="0.15">
      <c r="A38" s="61"/>
      <c r="B38" s="52" t="s">
        <v>103</v>
      </c>
      <c r="C38" s="22">
        <v>119</v>
      </c>
      <c r="D38" s="22">
        <f>SUM(C38-F38)</f>
        <v>25</v>
      </c>
      <c r="E38" s="102">
        <f>D38/C38*100</f>
        <v>21.008403361344538</v>
      </c>
      <c r="F38" s="20">
        <v>94</v>
      </c>
      <c r="G38" s="103"/>
      <c r="J38" s="50"/>
      <c r="K38" s="24"/>
      <c r="L38" s="24"/>
      <c r="M38" s="107"/>
      <c r="N38" s="21"/>
      <c r="O38" s="108"/>
    </row>
    <row r="39" spans="1:16" s="43" customFormat="1" ht="11.25" customHeight="1" x14ac:dyDescent="0.15">
      <c r="A39" s="61"/>
      <c r="B39" s="52" t="s">
        <v>102</v>
      </c>
      <c r="C39" s="22">
        <v>4252</v>
      </c>
      <c r="D39" s="22">
        <f>SUM(C39-F39)</f>
        <v>559</v>
      </c>
      <c r="E39" s="102">
        <f>D39/C39*100</f>
        <v>13.146754468485419</v>
      </c>
      <c r="F39" s="20">
        <v>3693</v>
      </c>
      <c r="G39" s="103"/>
      <c r="J39" s="50"/>
      <c r="K39" s="24"/>
      <c r="L39" s="24"/>
      <c r="M39" s="107"/>
      <c r="N39" s="21"/>
      <c r="O39" s="108"/>
    </row>
    <row r="40" spans="1:16" s="43" customFormat="1" ht="11.25" customHeight="1" x14ac:dyDescent="0.15">
      <c r="A40" s="61"/>
      <c r="B40" s="52" t="s">
        <v>10</v>
      </c>
      <c r="C40" s="22">
        <v>1770</v>
      </c>
      <c r="D40" s="22">
        <f>SUM(C40-F40)</f>
        <v>76</v>
      </c>
      <c r="E40" s="102">
        <f>D40/C40*100</f>
        <v>4.2937853107344628</v>
      </c>
      <c r="F40" s="20">
        <v>1694</v>
      </c>
      <c r="G40" s="103"/>
      <c r="J40" s="50"/>
      <c r="K40" s="24"/>
      <c r="L40" s="24"/>
      <c r="M40" s="107"/>
      <c r="N40" s="21"/>
      <c r="O40" s="108"/>
    </row>
    <row r="41" spans="1:16" s="43" customFormat="1" ht="4.5" customHeight="1" x14ac:dyDescent="0.15">
      <c r="A41" s="57"/>
      <c r="B41" s="110"/>
      <c r="C41" s="26"/>
      <c r="D41" s="26"/>
      <c r="E41" s="111"/>
      <c r="F41" s="26"/>
      <c r="G41" s="103"/>
      <c r="O41" s="108"/>
    </row>
    <row r="42" spans="1:16" s="43" customFormat="1" ht="11.25" customHeight="1" x14ac:dyDescent="0.15"/>
    <row r="43" spans="1:16" s="43" customFormat="1" ht="11.25" customHeight="1" x14ac:dyDescent="0.15"/>
    <row r="44" spans="1:16" s="43" customFormat="1" ht="11.25" customHeight="1" x14ac:dyDescent="0.15">
      <c r="H44" s="43" t="s">
        <v>80</v>
      </c>
      <c r="P44" s="43" t="s">
        <v>80</v>
      </c>
    </row>
    <row r="45" spans="1:16" s="43" customFormat="1" ht="11.25" customHeight="1" x14ac:dyDescent="0.15"/>
    <row r="46" spans="1:16" s="43" customFormat="1" ht="4.5" customHeight="1" x14ac:dyDescent="0.15"/>
    <row r="47" spans="1:16" s="78" customFormat="1" ht="7.5" customHeight="1" x14ac:dyDescent="0.15">
      <c r="I47" s="43"/>
      <c r="J47" s="43"/>
      <c r="K47" s="43"/>
      <c r="L47" s="43"/>
      <c r="M47" s="43"/>
      <c r="N47" s="43"/>
      <c r="O47" s="43"/>
    </row>
    <row r="48" spans="1:16" s="78" customFormat="1" ht="12" x14ac:dyDescent="0.15"/>
    <row r="49" spans="9:15" s="78" customFormat="1" ht="3.75" customHeight="1" x14ac:dyDescent="0.15"/>
    <row r="50" spans="9:15" s="43" customFormat="1" ht="12" x14ac:dyDescent="0.15">
      <c r="I50" s="78"/>
      <c r="J50" s="78"/>
      <c r="K50" s="78"/>
      <c r="L50" s="78"/>
      <c r="M50" s="78"/>
      <c r="N50" s="78"/>
      <c r="O50" s="78"/>
    </row>
    <row r="51" spans="9:15" s="43" customFormat="1" ht="4.5" customHeight="1" x14ac:dyDescent="0.15"/>
    <row r="52" spans="9:15" s="43" customFormat="1" ht="7.5" customHeight="1" x14ac:dyDescent="0.15"/>
    <row r="53" spans="9:15" s="43" customFormat="1" ht="7.5" customHeight="1" x14ac:dyDescent="0.15"/>
    <row r="54" spans="9:15" s="43" customFormat="1" ht="7.5" customHeight="1" x14ac:dyDescent="0.15"/>
    <row r="55" spans="9:15" s="43" customFormat="1" ht="7.5" customHeight="1" x14ac:dyDescent="0.15"/>
    <row r="56" spans="9:15" s="43" customFormat="1" ht="3.75" customHeight="1" x14ac:dyDescent="0.15"/>
    <row r="57" spans="9:15" s="43" customFormat="1" ht="7.5" customHeight="1" x14ac:dyDescent="0.15"/>
    <row r="58" spans="9:15" s="43" customFormat="1" ht="7.5" customHeight="1" x14ac:dyDescent="0.15"/>
    <row r="59" spans="9:15" s="43" customFormat="1" ht="7.5" customHeight="1" x14ac:dyDescent="0.15"/>
    <row r="60" spans="9:15" s="43" customFormat="1" ht="7.5" customHeight="1" x14ac:dyDescent="0.15"/>
    <row r="61" spans="9:15" s="43" customFormat="1" ht="1.5" customHeight="1" x14ac:dyDescent="0.15"/>
    <row r="62" spans="9:15" s="43" customFormat="1" ht="7.5" customHeight="1" x14ac:dyDescent="0.15"/>
    <row r="63" spans="9:15" s="43" customFormat="1" ht="7.5" customHeight="1" x14ac:dyDescent="0.15"/>
    <row r="64" spans="9:15" s="43" customFormat="1" ht="7.5" customHeight="1" x14ac:dyDescent="0.15"/>
    <row r="65" s="43" customFormat="1" ht="7.5" customHeight="1" x14ac:dyDescent="0.15"/>
    <row r="66" s="43" customFormat="1" ht="7.5" customHeight="1" x14ac:dyDescent="0.15"/>
    <row r="67" s="43" customFormat="1" ht="7.5" customHeight="1" x14ac:dyDescent="0.15"/>
    <row r="68" s="43" customFormat="1" ht="7.5" customHeight="1" x14ac:dyDescent="0.15"/>
    <row r="69" s="43" customFormat="1" ht="7.5" customHeight="1" x14ac:dyDescent="0.15"/>
    <row r="70" s="43" customFormat="1" ht="7.5" customHeight="1" x14ac:dyDescent="0.15"/>
    <row r="71" s="43" customFormat="1" ht="7.5" customHeight="1" x14ac:dyDescent="0.15"/>
    <row r="72" s="43" customFormat="1" ht="7.5" customHeight="1" x14ac:dyDescent="0.15"/>
    <row r="73" s="43" customFormat="1" ht="7.5" customHeight="1" x14ac:dyDescent="0.15"/>
    <row r="74" s="43" customFormat="1" ht="4.5" customHeight="1" x14ac:dyDescent="0.15"/>
    <row r="75" s="43" customFormat="1" ht="7.5" customHeight="1" x14ac:dyDescent="0.15"/>
    <row r="76" s="43" customFormat="1" ht="7.5" customHeight="1" x14ac:dyDescent="0.15"/>
    <row r="77" s="43" customFormat="1" ht="4.5" customHeight="1" x14ac:dyDescent="0.15"/>
    <row r="78" s="43" customFormat="1" ht="7.5" customHeight="1" x14ac:dyDescent="0.15"/>
    <row r="79" s="43" customFormat="1" ht="7.5" customHeight="1" x14ac:dyDescent="0.15"/>
    <row r="80" s="43" customFormat="1" ht="3.75" customHeight="1" x14ac:dyDescent="0.15"/>
    <row r="81" spans="9:15" s="78" customFormat="1" ht="12" x14ac:dyDescent="0.15">
      <c r="I81" s="43"/>
      <c r="J81" s="43"/>
      <c r="K81" s="43"/>
      <c r="L81" s="43"/>
      <c r="M81" s="43"/>
      <c r="N81" s="43"/>
      <c r="O81" s="43"/>
    </row>
    <row r="82" spans="9:15" s="78" customFormat="1" ht="12" x14ac:dyDescent="0.15"/>
    <row r="83" spans="9:15" s="78" customFormat="1" ht="12" x14ac:dyDescent="0.15"/>
    <row r="84" spans="9:15" s="78" customFormat="1" ht="12" x14ac:dyDescent="0.15"/>
    <row r="85" spans="9:15" s="78" customFormat="1" ht="12" x14ac:dyDescent="0.15"/>
    <row r="86" spans="9:15" s="78" customFormat="1" ht="12" x14ac:dyDescent="0.15"/>
    <row r="87" spans="9:15" s="78" customFormat="1" ht="12" x14ac:dyDescent="0.15"/>
    <row r="88" spans="9:15" s="78" customFormat="1" ht="12" x14ac:dyDescent="0.15"/>
    <row r="89" spans="9:15" s="78" customFormat="1" ht="12" x14ac:dyDescent="0.15"/>
    <row r="90" spans="9:15" s="78" customFormat="1" ht="12" x14ac:dyDescent="0.15"/>
    <row r="91" spans="9:15" s="78" customFormat="1" ht="12" x14ac:dyDescent="0.15"/>
    <row r="92" spans="9:15" s="78" customFormat="1" ht="12" x14ac:dyDescent="0.15"/>
    <row r="93" spans="9:15" s="78" customFormat="1" ht="12" x14ac:dyDescent="0.15"/>
    <row r="94" spans="9:15" s="78" customFormat="1" ht="12" x14ac:dyDescent="0.15"/>
    <row r="95" spans="9:15" s="78" customFormat="1" ht="12" x14ac:dyDescent="0.15"/>
    <row r="96" spans="9:15" s="78" customFormat="1" ht="12" x14ac:dyDescent="0.15"/>
    <row r="97" s="78" customFormat="1" ht="12" x14ac:dyDescent="0.15"/>
    <row r="98" s="78" customFormat="1" ht="12" x14ac:dyDescent="0.15"/>
    <row r="99" s="78" customFormat="1" ht="12" x14ac:dyDescent="0.15"/>
    <row r="100" s="78" customFormat="1" ht="12" x14ac:dyDescent="0.15"/>
    <row r="101" s="78" customFormat="1" ht="12" x14ac:dyDescent="0.15"/>
    <row r="102" s="78" customFormat="1" ht="12" x14ac:dyDescent="0.15"/>
    <row r="103" s="78" customFormat="1" ht="12" x14ac:dyDescent="0.15"/>
    <row r="104" s="78" customFormat="1" ht="12" x14ac:dyDescent="0.15"/>
    <row r="105" s="78" customFormat="1" ht="12" x14ac:dyDescent="0.15"/>
    <row r="106" s="78" customFormat="1" ht="12" x14ac:dyDescent="0.15"/>
    <row r="107" s="78" customFormat="1" ht="12" x14ac:dyDescent="0.15"/>
    <row r="108" s="78" customFormat="1" ht="12" x14ac:dyDescent="0.15"/>
    <row r="109" s="78" customFormat="1" ht="12" x14ac:dyDescent="0.15"/>
    <row r="110" s="78" customFormat="1" ht="12" x14ac:dyDescent="0.15"/>
    <row r="111" s="78" customFormat="1" ht="12" x14ac:dyDescent="0.15"/>
    <row r="112" s="78" customFormat="1" ht="12" x14ac:dyDescent="0.15"/>
    <row r="113" s="78" customFormat="1" ht="12" x14ac:dyDescent="0.15"/>
    <row r="114" s="78" customFormat="1" ht="12" x14ac:dyDescent="0.15"/>
    <row r="115" s="78" customFormat="1" ht="12" x14ac:dyDescent="0.15"/>
    <row r="116" s="78" customFormat="1" ht="12" x14ac:dyDescent="0.15"/>
    <row r="117" s="78" customFormat="1" ht="12" x14ac:dyDescent="0.15"/>
    <row r="118" s="78" customFormat="1" ht="12" x14ac:dyDescent="0.15"/>
    <row r="119" s="78" customFormat="1" ht="12" x14ac:dyDescent="0.15"/>
    <row r="120" s="78" customFormat="1" ht="12" x14ac:dyDescent="0.15"/>
    <row r="121" s="78" customFormat="1" ht="12" x14ac:dyDescent="0.15"/>
    <row r="122" s="78" customFormat="1" ht="12" x14ac:dyDescent="0.15"/>
    <row r="123" s="78" customFormat="1" ht="12" x14ac:dyDescent="0.15"/>
    <row r="124" s="78" customFormat="1" ht="12" x14ac:dyDescent="0.15"/>
    <row r="125" s="78" customFormat="1" ht="12" x14ac:dyDescent="0.15"/>
    <row r="126" s="78" customFormat="1" ht="12" x14ac:dyDescent="0.15"/>
    <row r="127" s="78" customFormat="1" ht="12" x14ac:dyDescent="0.15"/>
    <row r="128" s="78" customFormat="1" ht="12" x14ac:dyDescent="0.15"/>
    <row r="129" s="78" customFormat="1" ht="12" x14ac:dyDescent="0.15"/>
    <row r="130" s="78" customFormat="1" ht="12" x14ac:dyDescent="0.15"/>
    <row r="131" s="78" customFormat="1" ht="12" x14ac:dyDescent="0.15"/>
    <row r="132" s="78" customFormat="1" ht="12" x14ac:dyDescent="0.15"/>
    <row r="133" s="78" customFormat="1" ht="12" x14ac:dyDescent="0.15"/>
    <row r="134" s="78" customFormat="1" ht="12" x14ac:dyDescent="0.15"/>
    <row r="135" s="78" customFormat="1" ht="12" x14ac:dyDescent="0.15"/>
    <row r="136" s="78" customFormat="1" ht="12" x14ac:dyDescent="0.15"/>
    <row r="137" s="78" customFormat="1" ht="12" x14ac:dyDescent="0.15"/>
    <row r="138" s="78" customFormat="1" ht="12" x14ac:dyDescent="0.15"/>
    <row r="139" s="78" customFormat="1" ht="12" x14ac:dyDescent="0.15"/>
    <row r="140" s="78" customFormat="1" ht="12" x14ac:dyDescent="0.15"/>
    <row r="141" s="78" customFormat="1" ht="12" x14ac:dyDescent="0.15"/>
    <row r="142" s="78" customFormat="1" ht="12" x14ac:dyDescent="0.15"/>
    <row r="143" s="78" customFormat="1" ht="12" x14ac:dyDescent="0.15"/>
    <row r="144" s="78" customFormat="1" ht="12" x14ac:dyDescent="0.15"/>
    <row r="145" s="78" customFormat="1" ht="12" x14ac:dyDescent="0.15"/>
    <row r="146" s="78" customFormat="1" ht="12" x14ac:dyDescent="0.15"/>
    <row r="147" s="78" customFormat="1" ht="12" x14ac:dyDescent="0.15"/>
    <row r="148" s="78" customFormat="1" ht="12" x14ac:dyDescent="0.15"/>
    <row r="149" s="78" customFormat="1" ht="12" x14ac:dyDescent="0.15"/>
    <row r="150" s="78" customFormat="1" ht="12" x14ac:dyDescent="0.15"/>
    <row r="151" s="78" customFormat="1" ht="12" x14ac:dyDescent="0.15"/>
    <row r="152" s="78" customFormat="1" ht="12" x14ac:dyDescent="0.15"/>
    <row r="153" s="78" customFormat="1" ht="12" x14ac:dyDescent="0.15"/>
    <row r="154" s="78" customFormat="1" ht="12" x14ac:dyDescent="0.15"/>
    <row r="155" s="78" customFormat="1" ht="12" x14ac:dyDescent="0.15"/>
    <row r="156" s="78" customFormat="1" ht="12" x14ac:dyDescent="0.15"/>
    <row r="157" s="78" customFormat="1" ht="12" x14ac:dyDescent="0.15"/>
    <row r="158" s="78" customFormat="1" ht="12" x14ac:dyDescent="0.15"/>
    <row r="159" s="78" customFormat="1" ht="12" x14ac:dyDescent="0.15"/>
    <row r="160" s="78" customFormat="1" ht="12" x14ac:dyDescent="0.15"/>
    <row r="161" s="78" customFormat="1" ht="12" x14ac:dyDescent="0.15"/>
    <row r="162" s="78" customFormat="1" ht="12" x14ac:dyDescent="0.15"/>
    <row r="163" s="78" customFormat="1" ht="12" x14ac:dyDescent="0.15"/>
    <row r="164" s="78" customFormat="1" ht="12" x14ac:dyDescent="0.15"/>
    <row r="165" s="78" customFormat="1" ht="12" x14ac:dyDescent="0.15"/>
    <row r="166" s="78" customFormat="1" ht="12" x14ac:dyDescent="0.15"/>
    <row r="167" s="78" customFormat="1" ht="12" x14ac:dyDescent="0.15"/>
    <row r="168" s="78" customFormat="1" ht="12" x14ac:dyDescent="0.15"/>
    <row r="169" s="78" customFormat="1" ht="12" x14ac:dyDescent="0.15"/>
    <row r="170" s="78" customFormat="1" ht="12" x14ac:dyDescent="0.15"/>
    <row r="171" s="78" customFormat="1" ht="12" x14ac:dyDescent="0.15"/>
    <row r="172" s="78" customFormat="1" ht="12" x14ac:dyDescent="0.15"/>
    <row r="173" s="78" customFormat="1" ht="12" x14ac:dyDescent="0.15"/>
    <row r="174" s="78" customFormat="1" ht="12" x14ac:dyDescent="0.15"/>
    <row r="175" s="78" customFormat="1" ht="12" x14ac:dyDescent="0.15"/>
    <row r="176" s="78" customFormat="1" ht="12" x14ac:dyDescent="0.15"/>
    <row r="177" s="78" customFormat="1" ht="12" x14ac:dyDescent="0.15"/>
    <row r="178" s="78" customFormat="1" ht="12" x14ac:dyDescent="0.15"/>
    <row r="179" s="78" customFormat="1" ht="12" x14ac:dyDescent="0.15"/>
    <row r="180" s="78" customFormat="1" ht="12" x14ac:dyDescent="0.15"/>
    <row r="181" s="78" customFormat="1" ht="12" x14ac:dyDescent="0.15"/>
    <row r="182" s="78" customFormat="1" ht="12" x14ac:dyDescent="0.15"/>
    <row r="183" s="78" customFormat="1" ht="12" x14ac:dyDescent="0.15"/>
    <row r="184" s="78" customFormat="1" ht="12" x14ac:dyDescent="0.15"/>
    <row r="185" s="78" customFormat="1" ht="12" x14ac:dyDescent="0.15"/>
    <row r="186" s="78" customFormat="1" ht="12" x14ac:dyDescent="0.15"/>
    <row r="187" s="78" customFormat="1" ht="12" x14ac:dyDescent="0.15"/>
    <row r="188" s="78" customFormat="1" ht="12" x14ac:dyDescent="0.15"/>
    <row r="189" s="78" customFormat="1" ht="12" x14ac:dyDescent="0.15"/>
    <row r="190" s="78" customFormat="1" ht="12" x14ac:dyDescent="0.15"/>
    <row r="191" s="78" customFormat="1" ht="12" x14ac:dyDescent="0.15"/>
    <row r="192" s="78" customFormat="1" ht="12" x14ac:dyDescent="0.15"/>
    <row r="193" s="78" customFormat="1" ht="12" x14ac:dyDescent="0.15"/>
    <row r="194" s="78" customFormat="1" ht="12" x14ac:dyDescent="0.15"/>
    <row r="195" s="78" customFormat="1" ht="12" x14ac:dyDescent="0.15"/>
    <row r="196" s="78" customFormat="1" ht="12" x14ac:dyDescent="0.15"/>
    <row r="197" s="78" customFormat="1" ht="12" x14ac:dyDescent="0.15"/>
    <row r="198" s="78" customFormat="1" ht="12" x14ac:dyDescent="0.15"/>
    <row r="199" s="78" customFormat="1" ht="12" x14ac:dyDescent="0.15"/>
    <row r="200" s="78" customFormat="1" ht="12" x14ac:dyDescent="0.15"/>
    <row r="201" s="78" customFormat="1" ht="12" x14ac:dyDescent="0.15"/>
    <row r="202" s="78" customFormat="1" ht="12" x14ac:dyDescent="0.15"/>
    <row r="203" s="78" customFormat="1" ht="12" x14ac:dyDescent="0.15"/>
    <row r="204" s="78" customFormat="1" ht="12" x14ac:dyDescent="0.15"/>
    <row r="205" s="78" customFormat="1" ht="12" x14ac:dyDescent="0.15"/>
    <row r="206" s="78" customFormat="1" ht="12" x14ac:dyDescent="0.15"/>
    <row r="207" s="78" customFormat="1" ht="12" x14ac:dyDescent="0.15"/>
    <row r="208" s="78" customFormat="1" ht="12" x14ac:dyDescent="0.15"/>
    <row r="209" s="78" customFormat="1" ht="12" x14ac:dyDescent="0.15"/>
    <row r="210" s="78" customFormat="1" ht="12" x14ac:dyDescent="0.15"/>
    <row r="211" s="78" customFormat="1" ht="12" x14ac:dyDescent="0.15"/>
    <row r="212" s="78" customFormat="1" ht="12" x14ac:dyDescent="0.15"/>
    <row r="213" s="78" customFormat="1" ht="12" x14ac:dyDescent="0.15"/>
    <row r="214" s="78" customFormat="1" ht="12" x14ac:dyDescent="0.15"/>
    <row r="215" s="78" customFormat="1" ht="12" x14ac:dyDescent="0.15"/>
    <row r="216" s="78" customFormat="1" ht="12" x14ac:dyDescent="0.15"/>
    <row r="217" s="78" customFormat="1" ht="12" x14ac:dyDescent="0.15"/>
    <row r="218" s="78" customFormat="1" ht="12" x14ac:dyDescent="0.15"/>
    <row r="219" s="78" customFormat="1" ht="12" x14ac:dyDescent="0.15"/>
    <row r="220" s="78" customFormat="1" ht="12" x14ac:dyDescent="0.15"/>
    <row r="221" s="78" customFormat="1" ht="12" x14ac:dyDescent="0.15"/>
    <row r="222" s="78" customFormat="1" ht="12" x14ac:dyDescent="0.15"/>
    <row r="223" s="78" customFormat="1" ht="12" x14ac:dyDescent="0.15"/>
    <row r="224" s="78" customFormat="1" ht="12" x14ac:dyDescent="0.15"/>
    <row r="225" s="78" customFormat="1" ht="12" x14ac:dyDescent="0.15"/>
    <row r="226" s="78" customFormat="1" ht="12" x14ac:dyDescent="0.15"/>
    <row r="227" s="78" customFormat="1" ht="12" x14ac:dyDescent="0.15"/>
    <row r="228" s="78" customFormat="1" ht="12" x14ac:dyDescent="0.15"/>
    <row r="229" s="78" customFormat="1" ht="12" x14ac:dyDescent="0.15"/>
    <row r="230" s="78" customFormat="1" ht="12" x14ac:dyDescent="0.15"/>
    <row r="231" s="78" customFormat="1" ht="12" x14ac:dyDescent="0.15"/>
    <row r="232" s="78" customFormat="1" ht="12" x14ac:dyDescent="0.15"/>
    <row r="233" s="78" customFormat="1" ht="12" x14ac:dyDescent="0.15"/>
    <row r="234" s="78" customFormat="1" ht="12" x14ac:dyDescent="0.15"/>
    <row r="235" s="78" customFormat="1" ht="12" x14ac:dyDescent="0.15"/>
    <row r="236" s="78" customFormat="1" ht="12" x14ac:dyDescent="0.15"/>
    <row r="237" s="78" customFormat="1" ht="12" x14ac:dyDescent="0.15"/>
    <row r="238" s="78" customFormat="1" ht="12" x14ac:dyDescent="0.15"/>
    <row r="239" s="78" customFormat="1" ht="12" x14ac:dyDescent="0.15"/>
    <row r="240" s="78" customFormat="1" ht="12" x14ac:dyDescent="0.15"/>
    <row r="241" s="78" customFormat="1" ht="12" x14ac:dyDescent="0.15"/>
    <row r="242" s="78" customFormat="1" ht="12" x14ac:dyDescent="0.15"/>
    <row r="243" s="78" customFormat="1" ht="12" x14ac:dyDescent="0.15"/>
    <row r="244" s="78" customFormat="1" ht="12" x14ac:dyDescent="0.15"/>
    <row r="245" s="78" customFormat="1" ht="12" x14ac:dyDescent="0.15"/>
    <row r="246" s="78" customFormat="1" ht="12" x14ac:dyDescent="0.15"/>
    <row r="247" s="78" customFormat="1" ht="12" x14ac:dyDescent="0.15"/>
    <row r="248" s="78" customFormat="1" ht="12" x14ac:dyDescent="0.15"/>
    <row r="249" s="78" customFormat="1" ht="12" x14ac:dyDescent="0.15"/>
    <row r="250" s="78" customFormat="1" ht="12" x14ac:dyDescent="0.15"/>
    <row r="251" s="78" customFormat="1" ht="12" x14ac:dyDescent="0.15"/>
    <row r="252" s="78" customFormat="1" ht="12" x14ac:dyDescent="0.15"/>
    <row r="253" s="78" customFormat="1" ht="12" x14ac:dyDescent="0.15"/>
    <row r="254" s="78" customFormat="1" ht="12" x14ac:dyDescent="0.15"/>
    <row r="255" s="78" customFormat="1" ht="12" x14ac:dyDescent="0.15"/>
    <row r="256" s="78" customFormat="1" ht="12" x14ac:dyDescent="0.15"/>
    <row r="257" spans="9:15" s="78" customFormat="1" ht="12" x14ac:dyDescent="0.15"/>
    <row r="258" spans="9:15" s="78" customFormat="1" ht="12" x14ac:dyDescent="0.15"/>
    <row r="259" spans="9:15" s="78" customFormat="1" ht="12" x14ac:dyDescent="0.15"/>
    <row r="260" spans="9:15" s="78" customFormat="1" ht="12" x14ac:dyDescent="0.15"/>
    <row r="261" spans="9:15" s="78" customFormat="1" ht="12" x14ac:dyDescent="0.15"/>
    <row r="262" spans="9:15" s="78" customFormat="1" ht="12" x14ac:dyDescent="0.15"/>
    <row r="263" spans="9:15" x14ac:dyDescent="0.15">
      <c r="I263" s="78"/>
      <c r="J263" s="78"/>
      <c r="K263" s="78"/>
      <c r="L263" s="78"/>
      <c r="M263" s="78"/>
      <c r="N263" s="78"/>
      <c r="O263" s="78"/>
    </row>
  </sheetData>
  <mergeCells count="4">
    <mergeCell ref="A3:A5"/>
    <mergeCell ref="I3:I5"/>
    <mergeCell ref="E4:E5"/>
    <mergeCell ref="M4:M5"/>
  </mergeCells>
  <phoneticPr fontId="2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9AC4-3620-494E-AA82-AC922C7310C9}">
  <dimension ref="A1:G37"/>
  <sheetViews>
    <sheetView showGridLines="0" zoomScale="139" zoomScaleNormal="150" workbookViewId="0">
      <selection sqref="A1:XFD1048576"/>
    </sheetView>
  </sheetViews>
  <sheetFormatPr defaultColWidth="9.125" defaultRowHeight="13.5" x14ac:dyDescent="0.15"/>
  <cols>
    <col min="1" max="1" width="12.5" style="79" customWidth="1"/>
    <col min="2" max="16384" width="9.125" style="79"/>
  </cols>
  <sheetData>
    <row r="1" spans="1:7" ht="14.25" x14ac:dyDescent="0.15">
      <c r="A1" s="42" t="s">
        <v>131</v>
      </c>
      <c r="B1" s="78"/>
    </row>
    <row r="2" spans="1:7" x14ac:dyDescent="0.15">
      <c r="A2" s="78"/>
      <c r="B2" s="78"/>
      <c r="C2" s="80" t="s">
        <v>80</v>
      </c>
      <c r="E2" s="80"/>
      <c r="G2" s="80" t="s">
        <v>132</v>
      </c>
    </row>
    <row r="3" spans="1:7" x14ac:dyDescent="0.15">
      <c r="A3" s="81"/>
      <c r="B3" s="165" t="s">
        <v>142</v>
      </c>
      <c r="C3" s="166"/>
      <c r="D3" s="165" t="s">
        <v>143</v>
      </c>
      <c r="E3" s="166"/>
      <c r="F3" s="165" t="s">
        <v>148</v>
      </c>
      <c r="G3" s="166"/>
    </row>
    <row r="4" spans="1:7" ht="13.5" customHeight="1" x14ac:dyDescent="0.15">
      <c r="A4" s="46"/>
      <c r="B4" s="82"/>
      <c r="C4" s="83"/>
      <c r="D4" s="82"/>
      <c r="E4" s="83"/>
      <c r="F4" s="82"/>
      <c r="G4" s="83"/>
    </row>
    <row r="5" spans="1:7" ht="13.5" customHeight="1" x14ac:dyDescent="0.15">
      <c r="A5" s="61" t="s">
        <v>81</v>
      </c>
      <c r="B5" s="84" t="s">
        <v>93</v>
      </c>
      <c r="C5" s="29">
        <v>0</v>
      </c>
      <c r="D5" s="84" t="s">
        <v>93</v>
      </c>
      <c r="E5" s="29">
        <v>0</v>
      </c>
      <c r="F5" s="84" t="s">
        <v>93</v>
      </c>
      <c r="G5" s="29">
        <v>0</v>
      </c>
    </row>
    <row r="6" spans="1:7" ht="13.5" customHeight="1" x14ac:dyDescent="0.15">
      <c r="A6" s="61"/>
      <c r="B6" s="84" t="s">
        <v>94</v>
      </c>
      <c r="C6" s="29">
        <v>0</v>
      </c>
      <c r="D6" s="84" t="s">
        <v>94</v>
      </c>
      <c r="E6" s="29">
        <v>0</v>
      </c>
      <c r="F6" s="84" t="s">
        <v>94</v>
      </c>
      <c r="G6" s="29">
        <v>0</v>
      </c>
    </row>
    <row r="7" spans="1:7" ht="13.5" customHeight="1" x14ac:dyDescent="0.15">
      <c r="A7" s="61" t="s">
        <v>32</v>
      </c>
      <c r="B7" s="84"/>
      <c r="C7" s="29">
        <v>0</v>
      </c>
      <c r="D7" s="84"/>
      <c r="E7" s="29">
        <f>SUM(E5:E6)</f>
        <v>0</v>
      </c>
      <c r="F7" s="84"/>
      <c r="G7" s="29">
        <f>SUM(G5:G6)</f>
        <v>0</v>
      </c>
    </row>
    <row r="8" spans="1:7" ht="13.5" customHeight="1" x14ac:dyDescent="0.15">
      <c r="A8" s="85" t="s">
        <v>33</v>
      </c>
      <c r="B8" s="84"/>
      <c r="C8" s="29">
        <v>0</v>
      </c>
      <c r="D8" s="84"/>
      <c r="E8" s="29">
        <f>SUM(E6:E7)</f>
        <v>0</v>
      </c>
      <c r="F8" s="84"/>
      <c r="G8" s="29">
        <f>SUM(G6:G7)</f>
        <v>0</v>
      </c>
    </row>
    <row r="9" spans="1:7" ht="13.5" customHeight="1" x14ac:dyDescent="0.15">
      <c r="A9" s="61"/>
      <c r="B9" s="84"/>
      <c r="C9" s="86"/>
      <c r="D9" s="84"/>
      <c r="E9" s="86"/>
      <c r="F9" s="84"/>
      <c r="G9" s="86"/>
    </row>
    <row r="10" spans="1:7" ht="13.5" customHeight="1" x14ac:dyDescent="0.15">
      <c r="A10" s="61" t="s">
        <v>133</v>
      </c>
      <c r="B10" s="84"/>
      <c r="C10" s="86"/>
      <c r="D10" s="84"/>
      <c r="E10" s="86"/>
      <c r="F10" s="84"/>
      <c r="G10" s="86"/>
    </row>
    <row r="11" spans="1:7" ht="13.5" customHeight="1" x14ac:dyDescent="0.15">
      <c r="A11" s="61" t="s">
        <v>34</v>
      </c>
      <c r="B11" s="84" t="s">
        <v>93</v>
      </c>
      <c r="C11" s="30">
        <v>1738</v>
      </c>
      <c r="D11" s="84" t="s">
        <v>93</v>
      </c>
      <c r="E11" s="30">
        <v>1824</v>
      </c>
      <c r="F11" s="84" t="s">
        <v>93</v>
      </c>
      <c r="G11" s="30">
        <v>1250</v>
      </c>
    </row>
    <row r="12" spans="1:7" ht="13.5" customHeight="1" x14ac:dyDescent="0.15">
      <c r="A12" s="61"/>
      <c r="B12" s="84" t="s">
        <v>94</v>
      </c>
      <c r="C12" s="30">
        <v>96348</v>
      </c>
      <c r="D12" s="84" t="s">
        <v>94</v>
      </c>
      <c r="E12" s="30">
        <f>47919*2</f>
        <v>95838</v>
      </c>
      <c r="F12" s="84" t="s">
        <v>94</v>
      </c>
      <c r="G12" s="30">
        <v>49365</v>
      </c>
    </row>
    <row r="13" spans="1:7" ht="13.5" customHeight="1" x14ac:dyDescent="0.15">
      <c r="A13" s="61" t="s">
        <v>35</v>
      </c>
      <c r="B13" s="31"/>
      <c r="C13" s="30">
        <v>98086</v>
      </c>
      <c r="D13" s="31"/>
      <c r="E13" s="30">
        <f>+SUM(E11:E12)</f>
        <v>97662</v>
      </c>
      <c r="F13" s="31"/>
      <c r="G13" s="30">
        <f>+SUM(G11:G12)</f>
        <v>50615</v>
      </c>
    </row>
    <row r="14" spans="1:7" ht="13.5" customHeight="1" x14ac:dyDescent="0.15">
      <c r="A14" s="61"/>
      <c r="B14" s="84"/>
      <c r="C14" s="30"/>
      <c r="D14" s="84"/>
      <c r="E14" s="30"/>
      <c r="F14" s="84"/>
      <c r="G14" s="30"/>
    </row>
    <row r="15" spans="1:7" ht="13.5" customHeight="1" x14ac:dyDescent="0.15">
      <c r="A15" s="61" t="s">
        <v>36</v>
      </c>
      <c r="B15" s="84" t="s">
        <v>40</v>
      </c>
      <c r="C15" s="30">
        <v>451</v>
      </c>
      <c r="D15" s="84" t="s">
        <v>40</v>
      </c>
      <c r="E15" s="30">
        <v>426</v>
      </c>
      <c r="F15" s="84" t="s">
        <v>40</v>
      </c>
      <c r="G15" s="30">
        <v>267</v>
      </c>
    </row>
    <row r="16" spans="1:7" ht="13.5" customHeight="1" x14ac:dyDescent="0.15">
      <c r="A16" s="61"/>
      <c r="B16" s="84" t="s">
        <v>41</v>
      </c>
      <c r="C16" s="30">
        <v>18486</v>
      </c>
      <c r="D16" s="84" t="s">
        <v>41</v>
      </c>
      <c r="E16" s="30">
        <f>9378*2</f>
        <v>18756</v>
      </c>
      <c r="F16" s="84" t="s">
        <v>41</v>
      </c>
      <c r="G16" s="30">
        <v>9971</v>
      </c>
    </row>
    <row r="17" spans="1:7" ht="13.5" customHeight="1" x14ac:dyDescent="0.15">
      <c r="A17" s="61"/>
      <c r="B17" s="84" t="s">
        <v>145</v>
      </c>
      <c r="C17" s="30">
        <v>5980</v>
      </c>
      <c r="D17" s="84" t="s">
        <v>145</v>
      </c>
      <c r="E17" s="30">
        <f>1340*4</f>
        <v>5360</v>
      </c>
      <c r="F17" s="84" t="s">
        <v>145</v>
      </c>
      <c r="G17" s="30">
        <v>1073</v>
      </c>
    </row>
    <row r="18" spans="1:7" ht="13.5" customHeight="1" x14ac:dyDescent="0.15">
      <c r="A18" s="61" t="s">
        <v>38</v>
      </c>
      <c r="B18" s="84"/>
      <c r="C18" s="30">
        <v>24917</v>
      </c>
      <c r="D18" s="84"/>
      <c r="E18" s="30">
        <f>+SUM(E15:E17)</f>
        <v>24542</v>
      </c>
      <c r="F18" s="84"/>
      <c r="G18" s="30">
        <f>+SUM(G15:G17)</f>
        <v>11311</v>
      </c>
    </row>
    <row r="19" spans="1:7" ht="13.5" customHeight="1" x14ac:dyDescent="0.15">
      <c r="A19" s="61"/>
      <c r="B19" s="84"/>
      <c r="C19" s="86"/>
      <c r="D19" s="84"/>
      <c r="E19" s="86"/>
      <c r="F19" s="84"/>
      <c r="G19" s="86"/>
    </row>
    <row r="20" spans="1:7" ht="13.5" customHeight="1" x14ac:dyDescent="0.15">
      <c r="A20" s="61" t="s">
        <v>39</v>
      </c>
      <c r="B20" s="84" t="s">
        <v>40</v>
      </c>
      <c r="C20" s="87">
        <v>0</v>
      </c>
      <c r="D20" s="84" t="s">
        <v>40</v>
      </c>
      <c r="E20" s="87">
        <v>0</v>
      </c>
      <c r="F20" s="84" t="s">
        <v>40</v>
      </c>
      <c r="G20" s="87">
        <v>0</v>
      </c>
    </row>
    <row r="21" spans="1:7" ht="13.5" customHeight="1" x14ac:dyDescent="0.15">
      <c r="A21" s="61"/>
      <c r="B21" s="84" t="s">
        <v>41</v>
      </c>
      <c r="C21" s="87">
        <v>0</v>
      </c>
      <c r="D21" s="84" t="s">
        <v>41</v>
      </c>
      <c r="E21" s="87">
        <v>0</v>
      </c>
      <c r="F21" s="84" t="s">
        <v>41</v>
      </c>
      <c r="G21" s="87">
        <v>0</v>
      </c>
    </row>
    <row r="22" spans="1:7" ht="13.5" customHeight="1" x14ac:dyDescent="0.15">
      <c r="A22" s="61"/>
      <c r="B22" s="84" t="s">
        <v>37</v>
      </c>
      <c r="C22" s="30">
        <v>175</v>
      </c>
      <c r="D22" s="84" t="s">
        <v>37</v>
      </c>
      <c r="E22" s="30">
        <f>28*5</f>
        <v>140</v>
      </c>
      <c r="F22" s="84" t="s">
        <v>37</v>
      </c>
      <c r="G22" s="30">
        <v>100</v>
      </c>
    </row>
    <row r="23" spans="1:7" ht="13.5" customHeight="1" x14ac:dyDescent="0.15">
      <c r="A23" s="61"/>
      <c r="B23" s="84" t="s">
        <v>42</v>
      </c>
      <c r="C23" s="30">
        <v>81140</v>
      </c>
      <c r="D23" s="84" t="s">
        <v>42</v>
      </c>
      <c r="E23" s="30">
        <f>(8150)*10</f>
        <v>81500</v>
      </c>
      <c r="F23" s="84" t="s">
        <v>42</v>
      </c>
      <c r="G23" s="30">
        <v>82040</v>
      </c>
    </row>
    <row r="24" spans="1:7" ht="13.5" customHeight="1" x14ac:dyDescent="0.15">
      <c r="A24" s="61"/>
      <c r="B24" s="84" t="s">
        <v>43</v>
      </c>
      <c r="C24" s="30">
        <v>4320</v>
      </c>
      <c r="D24" s="84" t="s">
        <v>43</v>
      </c>
      <c r="E24" s="30">
        <f>(233)*15</f>
        <v>3495</v>
      </c>
      <c r="F24" s="84" t="s">
        <v>43</v>
      </c>
      <c r="G24" s="30">
        <v>2340</v>
      </c>
    </row>
    <row r="25" spans="1:7" ht="13.5" customHeight="1" x14ac:dyDescent="0.15">
      <c r="A25" s="61"/>
      <c r="B25" s="84" t="s">
        <v>44</v>
      </c>
      <c r="C25" s="30">
        <v>90100</v>
      </c>
      <c r="D25" s="84" t="s">
        <v>44</v>
      </c>
      <c r="E25" s="30">
        <f>(3687)*20</f>
        <v>73740</v>
      </c>
      <c r="F25" s="84" t="s">
        <v>44</v>
      </c>
      <c r="G25" s="30">
        <v>84780</v>
      </c>
    </row>
    <row r="26" spans="1:7" ht="13.5" customHeight="1" x14ac:dyDescent="0.15">
      <c r="A26" s="61" t="s">
        <v>35</v>
      </c>
      <c r="B26" s="84"/>
      <c r="C26" s="30">
        <v>175735</v>
      </c>
      <c r="D26" s="84"/>
      <c r="E26" s="30">
        <f>+SUM(E20:E25)</f>
        <v>158875</v>
      </c>
      <c r="F26" s="84"/>
      <c r="G26" s="30">
        <f>+SUM(G20:G25)</f>
        <v>169260</v>
      </c>
    </row>
    <row r="27" spans="1:7" ht="13.5" customHeight="1" x14ac:dyDescent="0.15">
      <c r="A27" s="61"/>
      <c r="B27" s="84"/>
      <c r="C27" s="86"/>
      <c r="D27" s="84"/>
      <c r="E27" s="86"/>
      <c r="F27" s="84"/>
      <c r="G27" s="86"/>
    </row>
    <row r="28" spans="1:7" ht="13.5" customHeight="1" x14ac:dyDescent="0.15">
      <c r="A28" s="61" t="s">
        <v>32</v>
      </c>
      <c r="B28" s="31"/>
      <c r="C28" s="30">
        <v>298738</v>
      </c>
      <c r="D28" s="31"/>
      <c r="E28" s="30">
        <f>+E13+E26+E18</f>
        <v>281079</v>
      </c>
      <c r="F28" s="31"/>
      <c r="G28" s="30">
        <f>+G13+G26+G18</f>
        <v>231186</v>
      </c>
    </row>
    <row r="29" spans="1:7" ht="13.5" customHeight="1" x14ac:dyDescent="0.15">
      <c r="A29" s="61" t="s">
        <v>33</v>
      </c>
      <c r="B29" s="84"/>
      <c r="C29" s="88">
        <v>96.251904978235729</v>
      </c>
      <c r="D29" s="84"/>
      <c r="E29" s="88">
        <f>E28/C28*100</f>
        <v>94.088800219590411</v>
      </c>
      <c r="F29" s="84"/>
      <c r="G29" s="88">
        <f>G28/E28*100</f>
        <v>82.249474347069679</v>
      </c>
    </row>
    <row r="30" spans="1:7" ht="13.5" customHeight="1" x14ac:dyDescent="0.15">
      <c r="A30" s="61"/>
      <c r="B30" s="84"/>
      <c r="C30" s="86"/>
      <c r="D30" s="84"/>
      <c r="E30" s="86"/>
      <c r="F30" s="84"/>
      <c r="G30" s="86"/>
    </row>
    <row r="31" spans="1:7" ht="13.5" customHeight="1" x14ac:dyDescent="0.15">
      <c r="A31" s="61" t="s">
        <v>134</v>
      </c>
      <c r="B31" s="84"/>
      <c r="C31" s="30">
        <v>298738</v>
      </c>
      <c r="D31" s="84"/>
      <c r="E31" s="30">
        <f>E28</f>
        <v>281079</v>
      </c>
      <c r="F31" s="84"/>
      <c r="G31" s="30">
        <f>G28</f>
        <v>231186</v>
      </c>
    </row>
    <row r="32" spans="1:7" ht="13.5" customHeight="1" x14ac:dyDescent="0.15">
      <c r="A32" s="61" t="s">
        <v>33</v>
      </c>
      <c r="B32" s="84"/>
      <c r="C32" s="88">
        <v>96.251904978235729</v>
      </c>
      <c r="D32" s="84"/>
      <c r="E32" s="88">
        <f>E31/C31*100</f>
        <v>94.088800219590411</v>
      </c>
      <c r="F32" s="84"/>
      <c r="G32" s="88">
        <f>G31/E31*100</f>
        <v>82.249474347069679</v>
      </c>
    </row>
    <row r="33" spans="1:7" ht="13.5" customHeight="1" x14ac:dyDescent="0.15">
      <c r="A33" s="57"/>
      <c r="B33" s="89"/>
      <c r="C33" s="90"/>
      <c r="D33" s="89"/>
      <c r="E33" s="90"/>
      <c r="F33" s="89"/>
      <c r="G33" s="90"/>
    </row>
    <row r="34" spans="1:7" ht="13.5" customHeight="1" x14ac:dyDescent="0.15">
      <c r="A34" s="43" t="s">
        <v>141</v>
      </c>
    </row>
    <row r="35" spans="1:7" ht="13.5" customHeight="1" x14ac:dyDescent="0.15"/>
    <row r="36" spans="1:7" ht="13.5" customHeight="1" x14ac:dyDescent="0.15"/>
    <row r="37" spans="1:7" ht="13.5" customHeight="1" x14ac:dyDescent="0.15"/>
  </sheetData>
  <mergeCells count="3">
    <mergeCell ref="B3:C3"/>
    <mergeCell ref="D3:E3"/>
    <mergeCell ref="F3:G3"/>
  </mergeCells>
  <phoneticPr fontId="2"/>
  <pageMargins left="0.78740157480314965" right="0.78740157480314965" top="0.98425196850393704" bottom="0.98425196850393704" header="0.51181102362204722" footer="0.51181102362204722"/>
  <pageSetup paperSize="9" scale="9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F7CC-5F15-4C49-987E-3B0C5FFAE569}">
  <sheetPr>
    <pageSetUpPr fitToPage="1"/>
  </sheetPr>
  <dimension ref="B1:U66"/>
  <sheetViews>
    <sheetView showGridLines="0" zoomScale="130" zoomScaleNormal="130" workbookViewId="0">
      <pane xSplit="3" ySplit="6" topLeftCell="D13" activePane="bottomRight" state="frozen"/>
      <selection activeCell="G30" sqref="G30"/>
      <selection pane="topRight" activeCell="G30" sqref="G30"/>
      <selection pane="bottomLeft" activeCell="G30" sqref="G30"/>
      <selection pane="bottomRight" sqref="A1:XFD1048576"/>
    </sheetView>
  </sheetViews>
  <sheetFormatPr defaultColWidth="12.5" defaultRowHeight="9" x14ac:dyDescent="0.15"/>
  <cols>
    <col min="1" max="1" width="3.875" style="43" customWidth="1"/>
    <col min="2" max="2" width="15.125" style="43" customWidth="1"/>
    <col min="3" max="3" width="5.5" style="43" customWidth="1"/>
    <col min="4" max="15" width="5.75" style="43" bestFit="1" customWidth="1"/>
    <col min="16" max="17" width="6.5" style="43" bestFit="1" customWidth="1"/>
    <col min="18" max="19" width="6.5" style="44" bestFit="1" customWidth="1"/>
    <col min="20" max="20" width="8.125" style="43" customWidth="1"/>
    <col min="21" max="21" width="10.25" style="43" customWidth="1"/>
    <col min="22" max="22" width="8.125" style="43" customWidth="1"/>
    <col min="23" max="23" width="6" style="43" customWidth="1"/>
    <col min="24" max="24" width="7.125" style="43" customWidth="1"/>
    <col min="25" max="26" width="6" style="43" customWidth="1"/>
    <col min="27" max="27" width="4.875" style="43" customWidth="1"/>
    <col min="28" max="29" width="6" style="43" customWidth="1"/>
    <col min="30" max="30" width="4.875" style="43" customWidth="1"/>
    <col min="31" max="32" width="6" style="43" customWidth="1"/>
    <col min="33" max="33" width="4.875" style="43" customWidth="1"/>
    <col min="34" max="35" width="6" style="43" customWidth="1"/>
    <col min="36" max="36" width="4.875" style="43" customWidth="1"/>
    <col min="37" max="16384" width="12.5" style="43"/>
  </cols>
  <sheetData>
    <row r="1" spans="2:21" ht="20.25" customHeight="1" x14ac:dyDescent="0.15">
      <c r="B1" s="42" t="s">
        <v>118</v>
      </c>
    </row>
    <row r="2" spans="2:21" ht="15.75" customHeight="1" x14ac:dyDescent="0.15">
      <c r="B2" s="43" t="s">
        <v>135</v>
      </c>
      <c r="Q2" s="185" t="s">
        <v>148</v>
      </c>
      <c r="R2" s="185"/>
      <c r="S2" s="185"/>
    </row>
    <row r="3" spans="2:21" ht="6.75" customHeight="1" x14ac:dyDescent="0.15">
      <c r="B3" s="45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9"/>
    </row>
    <row r="4" spans="2:21" x14ac:dyDescent="0.15">
      <c r="B4" s="186" t="s">
        <v>89</v>
      </c>
      <c r="C4" s="187"/>
      <c r="D4" s="51" t="s">
        <v>151</v>
      </c>
      <c r="E4" s="52">
        <v>5</v>
      </c>
      <c r="F4" s="51" t="s">
        <v>45</v>
      </c>
      <c r="G4" s="51" t="s">
        <v>46</v>
      </c>
      <c r="H4" s="51" t="s">
        <v>47</v>
      </c>
      <c r="I4" s="51" t="s">
        <v>48</v>
      </c>
      <c r="J4" s="51" t="s">
        <v>49</v>
      </c>
      <c r="K4" s="51" t="s">
        <v>50</v>
      </c>
      <c r="L4" s="51" t="s">
        <v>51</v>
      </c>
      <c r="M4" s="53" t="s">
        <v>152</v>
      </c>
      <c r="N4" s="51" t="s">
        <v>52</v>
      </c>
      <c r="O4" s="51" t="s">
        <v>53</v>
      </c>
      <c r="P4" s="52" t="s">
        <v>90</v>
      </c>
      <c r="Q4" s="51" t="s">
        <v>136</v>
      </c>
      <c r="R4" s="54" t="s">
        <v>91</v>
      </c>
      <c r="S4" s="55" t="s">
        <v>92</v>
      </c>
    </row>
    <row r="5" spans="2:21" ht="6.75" customHeight="1" x14ac:dyDescent="0.15">
      <c r="B5" s="56"/>
      <c r="C5" s="57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  <c r="S5" s="60"/>
    </row>
    <row r="6" spans="2:21" ht="2.4500000000000002" customHeight="1" x14ac:dyDescent="0.15">
      <c r="C6" s="6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4"/>
      <c r="S6" s="55"/>
    </row>
    <row r="7" spans="2:21" ht="9" customHeight="1" x14ac:dyDescent="0.15">
      <c r="B7" s="43" t="s">
        <v>54</v>
      </c>
      <c r="C7" s="6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4"/>
      <c r="S7" s="55"/>
    </row>
    <row r="8" spans="2:21" ht="9" customHeight="1" x14ac:dyDescent="0.15">
      <c r="B8" s="43" t="s">
        <v>55</v>
      </c>
      <c r="C8" s="61" t="s">
        <v>119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f>SUM(D8:O8)</f>
        <v>0</v>
      </c>
      <c r="Q8" s="32"/>
      <c r="R8" s="33">
        <v>0</v>
      </c>
      <c r="S8" s="34">
        <v>0</v>
      </c>
    </row>
    <row r="9" spans="2:21" ht="9" customHeight="1" x14ac:dyDescent="0.15">
      <c r="C9" s="61" t="s">
        <v>120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f>SUM(D9:O9)</f>
        <v>0</v>
      </c>
      <c r="Q9" s="32"/>
      <c r="R9" s="35">
        <v>0</v>
      </c>
      <c r="S9" s="62">
        <v>0</v>
      </c>
    </row>
    <row r="10" spans="2:21" ht="3.75" customHeight="1" x14ac:dyDescent="0.15">
      <c r="C10" s="61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3"/>
      <c r="S10" s="55"/>
    </row>
    <row r="11" spans="2:21" ht="9" customHeight="1" x14ac:dyDescent="0.15">
      <c r="B11" s="43" t="s">
        <v>56</v>
      </c>
      <c r="C11" s="61"/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2">
        <v>0</v>
      </c>
      <c r="K11" s="37">
        <v>0</v>
      </c>
      <c r="L11" s="32">
        <v>0</v>
      </c>
      <c r="M11" s="37">
        <v>0</v>
      </c>
      <c r="N11" s="37">
        <v>0</v>
      </c>
      <c r="O11" s="37">
        <v>0</v>
      </c>
      <c r="P11" s="32">
        <v>0</v>
      </c>
      <c r="Q11" s="32"/>
      <c r="R11" s="35">
        <v>0</v>
      </c>
      <c r="S11" s="62">
        <v>0</v>
      </c>
    </row>
    <row r="12" spans="2:21" ht="9" customHeight="1" x14ac:dyDescent="0.15">
      <c r="C12" s="6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4"/>
      <c r="S12" s="55"/>
    </row>
    <row r="13" spans="2:21" ht="9" customHeight="1" x14ac:dyDescent="0.15">
      <c r="B13" s="43" t="s">
        <v>57</v>
      </c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5"/>
      <c r="N13" s="64" t="s">
        <v>110</v>
      </c>
      <c r="O13" s="64"/>
      <c r="P13" s="51" t="s">
        <v>110</v>
      </c>
      <c r="Q13" s="51" t="s">
        <v>110</v>
      </c>
      <c r="R13" s="54"/>
      <c r="S13" s="55"/>
      <c r="U13" s="43" t="s">
        <v>144</v>
      </c>
    </row>
    <row r="14" spans="2:21" ht="9" customHeight="1" x14ac:dyDescent="0.15">
      <c r="C14" s="6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4"/>
      <c r="S14" s="55"/>
    </row>
    <row r="15" spans="2:21" ht="9" customHeight="1" x14ac:dyDescent="0.15">
      <c r="B15" s="43" t="s">
        <v>58</v>
      </c>
      <c r="C15" s="6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4"/>
      <c r="S15" s="55"/>
    </row>
    <row r="16" spans="2:21" ht="9" customHeight="1" x14ac:dyDescent="0.15">
      <c r="B16" s="43" t="s">
        <v>83</v>
      </c>
      <c r="C16" s="61" t="s">
        <v>119</v>
      </c>
      <c r="D16" s="32">
        <v>118</v>
      </c>
      <c r="E16" s="32">
        <v>128</v>
      </c>
      <c r="F16" s="32">
        <v>116</v>
      </c>
      <c r="G16" s="32">
        <v>140</v>
      </c>
      <c r="H16" s="32">
        <v>99</v>
      </c>
      <c r="I16" s="32">
        <v>94</v>
      </c>
      <c r="J16" s="32">
        <v>104</v>
      </c>
      <c r="K16" s="32">
        <v>89</v>
      </c>
      <c r="L16" s="32">
        <v>115</v>
      </c>
      <c r="M16" s="32">
        <v>63</v>
      </c>
      <c r="N16" s="32">
        <v>64</v>
      </c>
      <c r="O16" s="32">
        <v>98</v>
      </c>
      <c r="P16" s="32">
        <f>SUM(D16:O16)</f>
        <v>1228</v>
      </c>
      <c r="Q16" s="32"/>
      <c r="R16" s="33"/>
      <c r="S16" s="34"/>
    </row>
    <row r="17" spans="2:21" ht="9" customHeight="1" x14ac:dyDescent="0.15">
      <c r="C17" s="61" t="s">
        <v>120</v>
      </c>
      <c r="D17" s="32">
        <v>4339</v>
      </c>
      <c r="E17" s="32">
        <v>4185</v>
      </c>
      <c r="F17" s="32">
        <v>4011</v>
      </c>
      <c r="G17" s="32">
        <v>4108</v>
      </c>
      <c r="H17" s="32">
        <v>4098</v>
      </c>
      <c r="I17" s="32">
        <v>3812</v>
      </c>
      <c r="J17" s="32">
        <v>4336</v>
      </c>
      <c r="K17" s="32">
        <v>4046</v>
      </c>
      <c r="L17" s="32">
        <v>4372</v>
      </c>
      <c r="M17" s="32">
        <v>4117</v>
      </c>
      <c r="N17" s="32">
        <v>3904</v>
      </c>
      <c r="O17" s="32">
        <v>3988</v>
      </c>
      <c r="P17" s="22">
        <f>+SUM(D17:O17)</f>
        <v>49316</v>
      </c>
      <c r="Q17" s="22">
        <f>P16+P17*2</f>
        <v>99860</v>
      </c>
      <c r="R17" s="63">
        <f>Q17/$Q$56*100</f>
        <v>33.995935194610219</v>
      </c>
      <c r="S17" s="55">
        <f>Q17/U17*100</f>
        <v>101.95413799440507</v>
      </c>
      <c r="U17" s="43">
        <v>97946</v>
      </c>
    </row>
    <row r="18" spans="2:21" ht="3.75" customHeight="1" x14ac:dyDescent="0.15">
      <c r="C18" s="6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54"/>
      <c r="S18" s="55"/>
    </row>
    <row r="19" spans="2:21" ht="9" customHeight="1" x14ac:dyDescent="0.15">
      <c r="B19" s="43" t="s">
        <v>59</v>
      </c>
      <c r="C19" s="61" t="s">
        <v>119</v>
      </c>
      <c r="D19" s="32">
        <v>5</v>
      </c>
      <c r="E19" s="32">
        <v>6</v>
      </c>
      <c r="F19" s="32">
        <v>2</v>
      </c>
      <c r="G19" s="32">
        <v>0</v>
      </c>
      <c r="H19" s="32">
        <v>0</v>
      </c>
      <c r="I19" s="32">
        <v>0</v>
      </c>
      <c r="J19" s="32">
        <v>3</v>
      </c>
      <c r="K19" s="32">
        <v>6</v>
      </c>
      <c r="L19" s="32">
        <v>0</v>
      </c>
      <c r="M19" s="32">
        <v>0</v>
      </c>
      <c r="N19" s="32">
        <v>0</v>
      </c>
      <c r="O19" s="32">
        <v>0</v>
      </c>
      <c r="P19" s="38">
        <f>+SUM(D19:O19)</f>
        <v>22</v>
      </c>
      <c r="Q19" s="32"/>
      <c r="R19" s="33"/>
      <c r="S19" s="34"/>
    </row>
    <row r="20" spans="2:21" ht="9" customHeight="1" x14ac:dyDescent="0.15">
      <c r="C20" s="61" t="s">
        <v>120</v>
      </c>
      <c r="D20" s="32">
        <v>3</v>
      </c>
      <c r="E20" s="32">
        <v>3</v>
      </c>
      <c r="F20" s="32">
        <v>2</v>
      </c>
      <c r="G20" s="32">
        <v>4</v>
      </c>
      <c r="H20" s="32">
        <v>3</v>
      </c>
      <c r="I20" s="32">
        <v>3</v>
      </c>
      <c r="J20" s="32">
        <v>7</v>
      </c>
      <c r="K20" s="32">
        <v>3</v>
      </c>
      <c r="L20" s="32">
        <v>4</v>
      </c>
      <c r="M20" s="32">
        <v>7</v>
      </c>
      <c r="N20" s="32">
        <v>4</v>
      </c>
      <c r="O20" s="32">
        <v>6</v>
      </c>
      <c r="P20" s="38">
        <f>+SUM(D20:O20)</f>
        <v>49</v>
      </c>
      <c r="Q20" s="38">
        <f>P19+P20*2</f>
        <v>120</v>
      </c>
      <c r="R20" s="63">
        <f>Q20/$Q$56*100</f>
        <v>4.0852315475197541E-2</v>
      </c>
      <c r="S20" s="55">
        <f>Q20/U20*100</f>
        <v>85.714285714285708</v>
      </c>
      <c r="U20" s="43">
        <v>140</v>
      </c>
    </row>
    <row r="21" spans="2:21" ht="3.75" customHeight="1" x14ac:dyDescent="0.15">
      <c r="C21" s="61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54"/>
      <c r="S21" s="66"/>
    </row>
    <row r="22" spans="2:21" ht="9" customHeight="1" x14ac:dyDescent="0.15">
      <c r="B22" s="43" t="s">
        <v>84</v>
      </c>
      <c r="C22" s="61" t="s">
        <v>119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8">
        <f>+SUM(D22:O22)</f>
        <v>0</v>
      </c>
      <c r="Q22" s="32"/>
      <c r="R22" s="33"/>
      <c r="S22" s="34"/>
    </row>
    <row r="23" spans="2:21" ht="9" customHeight="1" x14ac:dyDescent="0.15">
      <c r="C23" s="61" t="s">
        <v>120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8">
        <f>+SUM(D23:O23)</f>
        <v>0</v>
      </c>
      <c r="Q23" s="38">
        <f>P22+P23*2</f>
        <v>0</v>
      </c>
      <c r="R23" s="63">
        <f>Q23/$Q$56*100</f>
        <v>0</v>
      </c>
      <c r="S23" s="67">
        <v>0</v>
      </c>
      <c r="U23" s="43">
        <v>0</v>
      </c>
    </row>
    <row r="24" spans="2:21" ht="3.75" customHeight="1" x14ac:dyDescent="0.15">
      <c r="C24" s="61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54"/>
      <c r="S24" s="66"/>
    </row>
    <row r="25" spans="2:21" s="68" customFormat="1" ht="9" customHeight="1" x14ac:dyDescent="0.15">
      <c r="B25" s="68" t="s">
        <v>121</v>
      </c>
      <c r="C25" s="69" t="s">
        <v>119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8">
        <f>+SUM(D25:O25)</f>
        <v>0</v>
      </c>
      <c r="Q25" s="32"/>
      <c r="R25" s="33"/>
      <c r="S25" s="66"/>
    </row>
    <row r="26" spans="2:21" s="68" customFormat="1" ht="9" customHeight="1" x14ac:dyDescent="0.15">
      <c r="C26" s="69" t="s">
        <v>120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8">
        <f>+SUM(D26:O26)</f>
        <v>0</v>
      </c>
      <c r="Q26" s="38">
        <f>P25+P26*2</f>
        <v>0</v>
      </c>
      <c r="R26" s="63">
        <f>Q26/$Q$56*100</f>
        <v>0</v>
      </c>
      <c r="S26" s="67">
        <v>0</v>
      </c>
      <c r="U26" s="68">
        <v>0</v>
      </c>
    </row>
    <row r="27" spans="2:21" s="68" customFormat="1" ht="3.75" customHeight="1" x14ac:dyDescent="0.15">
      <c r="C27" s="69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54"/>
      <c r="S27" s="66"/>
    </row>
    <row r="28" spans="2:21" s="68" customFormat="1" ht="9" customHeight="1" x14ac:dyDescent="0.15">
      <c r="B28" s="68" t="s">
        <v>60</v>
      </c>
      <c r="C28" s="69"/>
      <c r="D28" s="32">
        <f>D16+D19+D22+D25+D17*2+D20*2+D23*2+D26*2</f>
        <v>8807</v>
      </c>
      <c r="E28" s="32">
        <f t="shared" ref="E28:O28" si="0">E16+E19+E22+E25+(E17+E20+E23+E26)*2</f>
        <v>8510</v>
      </c>
      <c r="F28" s="32">
        <f t="shared" si="0"/>
        <v>8144</v>
      </c>
      <c r="G28" s="32">
        <f t="shared" si="0"/>
        <v>8364</v>
      </c>
      <c r="H28" s="32">
        <f t="shared" si="0"/>
        <v>8301</v>
      </c>
      <c r="I28" s="32">
        <f t="shared" si="0"/>
        <v>7724</v>
      </c>
      <c r="J28" s="32">
        <f t="shared" si="0"/>
        <v>8793</v>
      </c>
      <c r="K28" s="32">
        <f t="shared" si="0"/>
        <v>8193</v>
      </c>
      <c r="L28" s="32">
        <f t="shared" si="0"/>
        <v>8867</v>
      </c>
      <c r="M28" s="32">
        <f t="shared" si="0"/>
        <v>8311</v>
      </c>
      <c r="N28" s="32">
        <f t="shared" si="0"/>
        <v>7880</v>
      </c>
      <c r="O28" s="32">
        <f t="shared" si="0"/>
        <v>8086</v>
      </c>
      <c r="P28" s="32">
        <f>+SUM(D28:O28)</f>
        <v>99980</v>
      </c>
      <c r="Q28" s="32">
        <f>SUM(Q16:Q27)</f>
        <v>99980</v>
      </c>
      <c r="R28" s="70">
        <f>Q28/$Q$56*100</f>
        <v>34.036787510085418</v>
      </c>
      <c r="S28" s="55">
        <f>Q28/U28*100</f>
        <v>101.93095854658156</v>
      </c>
      <c r="U28" s="68">
        <v>98086</v>
      </c>
    </row>
    <row r="29" spans="2:21" s="44" customFormat="1" ht="9" customHeight="1" x14ac:dyDescent="0.15">
      <c r="B29" s="44" t="s">
        <v>61</v>
      </c>
      <c r="C29" s="71"/>
      <c r="D29" s="39">
        <f>D28/D63*100</f>
        <v>111.49512596531206</v>
      </c>
      <c r="E29" s="39">
        <f t="shared" ref="E29:Q29" si="1">E28/E63*100</f>
        <v>105.96438799651351</v>
      </c>
      <c r="F29" s="39">
        <f t="shared" si="1"/>
        <v>100.91697645600992</v>
      </c>
      <c r="G29" s="39">
        <f t="shared" si="1"/>
        <v>105.80645161290323</v>
      </c>
      <c r="H29" s="39">
        <f t="shared" si="1"/>
        <v>102.50679180044455</v>
      </c>
      <c r="I29" s="39">
        <f t="shared" si="1"/>
        <v>97.035175879396988</v>
      </c>
      <c r="J29" s="39">
        <f t="shared" si="1"/>
        <v>104.95344951062306</v>
      </c>
      <c r="K29" s="39">
        <f t="shared" si="1"/>
        <v>96.72963400236128</v>
      </c>
      <c r="L29" s="39">
        <f t="shared" si="1"/>
        <v>103.91421539903902</v>
      </c>
      <c r="M29" s="39">
        <f t="shared" si="1"/>
        <v>99.31883365200764</v>
      </c>
      <c r="N29" s="39">
        <f t="shared" si="1"/>
        <v>99.873257287705954</v>
      </c>
      <c r="O29" s="39">
        <f t="shared" si="1"/>
        <v>100.32258064516128</v>
      </c>
      <c r="P29" s="39">
        <f t="shared" si="1"/>
        <v>102.37349224877639</v>
      </c>
      <c r="Q29" s="39">
        <f t="shared" si="1"/>
        <v>102.37349224877639</v>
      </c>
      <c r="R29" s="54"/>
      <c r="S29" s="72"/>
      <c r="U29" s="44">
        <v>100</v>
      </c>
    </row>
    <row r="30" spans="2:21" s="68" customFormat="1" ht="9" customHeight="1" x14ac:dyDescent="0.15">
      <c r="C30" s="69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54"/>
      <c r="S30" s="66"/>
    </row>
    <row r="31" spans="2:21" s="68" customFormat="1" ht="9" customHeight="1" x14ac:dyDescent="0.15">
      <c r="B31" s="68" t="s">
        <v>62</v>
      </c>
      <c r="C31" s="69" t="s">
        <v>122</v>
      </c>
      <c r="D31" s="38">
        <v>33</v>
      </c>
      <c r="E31" s="38">
        <v>42</v>
      </c>
      <c r="F31" s="38">
        <v>26</v>
      </c>
      <c r="G31" s="38">
        <v>23</v>
      </c>
      <c r="H31" s="38">
        <v>16</v>
      </c>
      <c r="I31" s="38">
        <v>29</v>
      </c>
      <c r="J31" s="38">
        <v>27</v>
      </c>
      <c r="K31" s="38">
        <v>17</v>
      </c>
      <c r="L31" s="38">
        <v>18</v>
      </c>
      <c r="M31" s="38">
        <v>13</v>
      </c>
      <c r="N31" s="38">
        <v>17</v>
      </c>
      <c r="O31" s="38">
        <v>6</v>
      </c>
      <c r="P31" s="38">
        <f>+SUM(D31:O31)</f>
        <v>267</v>
      </c>
      <c r="Q31" s="38"/>
      <c r="R31" s="54"/>
      <c r="S31" s="66"/>
    </row>
    <row r="32" spans="2:21" s="68" customFormat="1" ht="9" customHeight="1" x14ac:dyDescent="0.15">
      <c r="C32" s="69" t="s">
        <v>66</v>
      </c>
      <c r="D32" s="38">
        <v>853</v>
      </c>
      <c r="E32" s="38">
        <v>766</v>
      </c>
      <c r="F32" s="38">
        <v>891</v>
      </c>
      <c r="G32" s="38">
        <v>823</v>
      </c>
      <c r="H32" s="38">
        <v>861</v>
      </c>
      <c r="I32" s="38">
        <v>674</v>
      </c>
      <c r="J32" s="38">
        <v>922</v>
      </c>
      <c r="K32" s="38">
        <v>804</v>
      </c>
      <c r="L32" s="38">
        <v>906</v>
      </c>
      <c r="M32" s="38">
        <v>915</v>
      </c>
      <c r="N32" s="38">
        <v>787</v>
      </c>
      <c r="O32" s="38">
        <v>769</v>
      </c>
      <c r="P32" s="38">
        <f>+SUM(D32:O32)</f>
        <v>9971</v>
      </c>
      <c r="Q32" s="38"/>
      <c r="R32" s="54"/>
      <c r="S32" s="66"/>
    </row>
    <row r="33" spans="2:21" s="68" customFormat="1" ht="9" customHeight="1" x14ac:dyDescent="0.15">
      <c r="B33" s="68" t="s">
        <v>63</v>
      </c>
      <c r="C33" s="69" t="s">
        <v>123</v>
      </c>
      <c r="D33" s="38">
        <v>123</v>
      </c>
      <c r="E33" s="38">
        <v>116</v>
      </c>
      <c r="F33" s="38">
        <v>65</v>
      </c>
      <c r="G33" s="38">
        <v>129</v>
      </c>
      <c r="H33" s="38">
        <v>169</v>
      </c>
      <c r="I33" s="38">
        <v>108</v>
      </c>
      <c r="J33" s="38">
        <v>65</v>
      </c>
      <c r="K33" s="38">
        <v>16</v>
      </c>
      <c r="L33" s="38">
        <v>34</v>
      </c>
      <c r="M33" s="38">
        <v>100</v>
      </c>
      <c r="N33" s="38">
        <v>57</v>
      </c>
      <c r="O33" s="38">
        <v>91</v>
      </c>
      <c r="P33" s="38">
        <f>+SUM(D33:O33)</f>
        <v>1073</v>
      </c>
      <c r="Q33" s="38">
        <f>P31*1+(P32*2)+(P33*4)</f>
        <v>24501</v>
      </c>
      <c r="R33" s="54">
        <f>Q33/$Q$56*100</f>
        <v>8.3410215121484566</v>
      </c>
      <c r="S33" s="55">
        <f>Q33/U33*100</f>
        <v>98.33045711763053</v>
      </c>
      <c r="U33" s="68">
        <v>24917</v>
      </c>
    </row>
    <row r="34" spans="2:21" s="68" customFormat="1" ht="3.75" customHeight="1" x14ac:dyDescent="0.15">
      <c r="C34" s="69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54"/>
      <c r="S34" s="66"/>
    </row>
    <row r="35" spans="2:21" ht="9" customHeight="1" x14ac:dyDescent="0.15">
      <c r="B35" s="43" t="s">
        <v>60</v>
      </c>
      <c r="C35" s="61"/>
      <c r="D35" s="38">
        <f>D31*1+D32*2+D33*4</f>
        <v>2231</v>
      </c>
      <c r="E35" s="38">
        <f t="shared" ref="E35:P35" si="2">E31*1+E32*2+E33*4</f>
        <v>2038</v>
      </c>
      <c r="F35" s="38">
        <f t="shared" si="2"/>
        <v>2068</v>
      </c>
      <c r="G35" s="38">
        <f t="shared" si="2"/>
        <v>2185</v>
      </c>
      <c r="H35" s="38">
        <f t="shared" si="2"/>
        <v>2414</v>
      </c>
      <c r="I35" s="38">
        <f t="shared" si="2"/>
        <v>1809</v>
      </c>
      <c r="J35" s="38">
        <f t="shared" si="2"/>
        <v>2131</v>
      </c>
      <c r="K35" s="38">
        <f t="shared" si="2"/>
        <v>1689</v>
      </c>
      <c r="L35" s="38">
        <f t="shared" si="2"/>
        <v>1966</v>
      </c>
      <c r="M35" s="38">
        <f t="shared" si="2"/>
        <v>2243</v>
      </c>
      <c r="N35" s="38">
        <f t="shared" si="2"/>
        <v>1819</v>
      </c>
      <c r="O35" s="38">
        <f t="shared" si="2"/>
        <v>1908</v>
      </c>
      <c r="P35" s="38">
        <f t="shared" si="2"/>
        <v>24501</v>
      </c>
      <c r="Q35" s="38">
        <f>SUM(D35:O35)</f>
        <v>24501</v>
      </c>
      <c r="R35" s="54">
        <f>Q35/$Q$56*100</f>
        <v>8.3410215121484566</v>
      </c>
      <c r="S35" s="55">
        <f>Q35/U35*100</f>
        <v>98.33045711763053</v>
      </c>
      <c r="U35" s="43">
        <v>24917</v>
      </c>
    </row>
    <row r="36" spans="2:21" ht="9" customHeight="1" x14ac:dyDescent="0.15">
      <c r="B36" s="43" t="s">
        <v>61</v>
      </c>
      <c r="C36" s="61"/>
      <c r="D36" s="39">
        <f>D35/D64*100</f>
        <v>124.42833240379252</v>
      </c>
      <c r="E36" s="39">
        <f t="shared" ref="E36:Q36" si="3">E35/E64*100</f>
        <v>110.10264721772016</v>
      </c>
      <c r="F36" s="39">
        <f t="shared" si="3"/>
        <v>114.57063711911357</v>
      </c>
      <c r="G36" s="39">
        <f t="shared" si="3"/>
        <v>95.540008745080897</v>
      </c>
      <c r="H36" s="39">
        <f t="shared" si="3"/>
        <v>94.555424990207598</v>
      </c>
      <c r="I36" s="39">
        <f t="shared" si="3"/>
        <v>117.31517509727627</v>
      </c>
      <c r="J36" s="39">
        <f t="shared" si="3"/>
        <v>94.879786286731971</v>
      </c>
      <c r="K36" s="39">
        <f t="shared" si="3"/>
        <v>68.882544861337678</v>
      </c>
      <c r="L36" s="39">
        <f t="shared" si="3"/>
        <v>75.267993874425727</v>
      </c>
      <c r="M36" s="39">
        <f t="shared" si="3"/>
        <v>105.2557484748944</v>
      </c>
      <c r="N36" s="39">
        <f t="shared" si="3"/>
        <v>116.08168474792598</v>
      </c>
      <c r="O36" s="39">
        <f t="shared" si="3"/>
        <v>112.03758073987082</v>
      </c>
      <c r="P36" s="39">
        <f t="shared" si="3"/>
        <v>99.832939450737513</v>
      </c>
      <c r="Q36" s="39">
        <f t="shared" si="3"/>
        <v>99.832939450737513</v>
      </c>
      <c r="R36" s="54"/>
      <c r="S36" s="72"/>
      <c r="U36" s="43">
        <v>100</v>
      </c>
    </row>
    <row r="37" spans="2:21" ht="3.75" customHeight="1" x14ac:dyDescent="0.15">
      <c r="C37" s="61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4"/>
      <c r="S37" s="66"/>
    </row>
    <row r="38" spans="2:21" ht="9" customHeight="1" x14ac:dyDescent="0.15">
      <c r="B38" s="43" t="s">
        <v>85</v>
      </c>
      <c r="C38" s="61" t="s">
        <v>65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8">
        <f t="shared" ref="P38:P43" si="4">+SUM(D38:O38)</f>
        <v>0</v>
      </c>
      <c r="Q38" s="38"/>
      <c r="R38" s="54"/>
      <c r="S38" s="66"/>
    </row>
    <row r="39" spans="2:21" ht="9" customHeight="1" x14ac:dyDescent="0.15">
      <c r="C39" s="61" t="s">
        <v>66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8">
        <f t="shared" si="4"/>
        <v>0</v>
      </c>
      <c r="Q39" s="38"/>
      <c r="R39" s="54"/>
      <c r="S39" s="66"/>
    </row>
    <row r="40" spans="2:21" ht="9" customHeight="1" x14ac:dyDescent="0.15">
      <c r="C40" s="61" t="s">
        <v>64</v>
      </c>
      <c r="D40" s="32">
        <v>1</v>
      </c>
      <c r="E40" s="32">
        <v>1</v>
      </c>
      <c r="F40" s="38">
        <v>0</v>
      </c>
      <c r="G40" s="38">
        <v>1</v>
      </c>
      <c r="H40" s="38">
        <v>1</v>
      </c>
      <c r="I40" s="38">
        <v>2</v>
      </c>
      <c r="J40" s="38">
        <v>1</v>
      </c>
      <c r="K40" s="38">
        <v>4</v>
      </c>
      <c r="L40" s="38">
        <v>7</v>
      </c>
      <c r="M40" s="38">
        <v>2</v>
      </c>
      <c r="N40" s="38">
        <v>0</v>
      </c>
      <c r="O40" s="38">
        <v>0</v>
      </c>
      <c r="P40" s="38">
        <f t="shared" si="4"/>
        <v>20</v>
      </c>
      <c r="Q40" s="38"/>
      <c r="R40" s="54"/>
      <c r="S40" s="66"/>
    </row>
    <row r="41" spans="2:21" ht="9" customHeight="1" x14ac:dyDescent="0.15">
      <c r="B41" s="23"/>
      <c r="C41" s="61" t="s">
        <v>67</v>
      </c>
      <c r="D41" s="38">
        <v>638</v>
      </c>
      <c r="E41" s="38">
        <v>626</v>
      </c>
      <c r="F41" s="38">
        <v>647</v>
      </c>
      <c r="G41" s="38">
        <v>675</v>
      </c>
      <c r="H41" s="38">
        <v>651</v>
      </c>
      <c r="I41" s="38">
        <v>624</v>
      </c>
      <c r="J41" s="38">
        <v>675</v>
      </c>
      <c r="K41" s="38">
        <v>608</v>
      </c>
      <c r="L41" s="38">
        <v>688</v>
      </c>
      <c r="M41" s="38">
        <v>559</v>
      </c>
      <c r="N41" s="38">
        <v>582</v>
      </c>
      <c r="O41" s="38">
        <v>574</v>
      </c>
      <c r="P41" s="38">
        <f t="shared" si="4"/>
        <v>7547</v>
      </c>
      <c r="Q41" s="38"/>
      <c r="R41" s="54"/>
      <c r="S41" s="66"/>
    </row>
    <row r="42" spans="2:21" ht="9" customHeight="1" x14ac:dyDescent="0.15">
      <c r="C42" s="61" t="s">
        <v>68</v>
      </c>
      <c r="D42" s="38">
        <v>38</v>
      </c>
      <c r="E42" s="38">
        <v>13</v>
      </c>
      <c r="F42" s="38">
        <v>16</v>
      </c>
      <c r="G42" s="38">
        <v>17</v>
      </c>
      <c r="H42" s="38">
        <v>6</v>
      </c>
      <c r="I42" s="38">
        <v>1</v>
      </c>
      <c r="J42" s="38">
        <v>6</v>
      </c>
      <c r="K42" s="38">
        <v>2</v>
      </c>
      <c r="L42" s="38">
        <v>18</v>
      </c>
      <c r="M42" s="38">
        <v>14</v>
      </c>
      <c r="N42" s="38">
        <v>2</v>
      </c>
      <c r="O42" s="38">
        <v>9</v>
      </c>
      <c r="P42" s="38">
        <f t="shared" si="4"/>
        <v>142</v>
      </c>
      <c r="Q42" s="38"/>
      <c r="R42" s="54"/>
      <c r="S42" s="66"/>
    </row>
    <row r="43" spans="2:21" ht="9" customHeight="1" x14ac:dyDescent="0.15">
      <c r="C43" s="61" t="s">
        <v>69</v>
      </c>
      <c r="D43" s="38">
        <v>354</v>
      </c>
      <c r="E43" s="38">
        <v>389</v>
      </c>
      <c r="F43" s="38">
        <v>362</v>
      </c>
      <c r="G43" s="38">
        <v>315</v>
      </c>
      <c r="H43" s="38">
        <v>338</v>
      </c>
      <c r="I43" s="38">
        <v>308</v>
      </c>
      <c r="J43" s="38">
        <v>331</v>
      </c>
      <c r="K43" s="38">
        <v>326</v>
      </c>
      <c r="L43" s="38">
        <v>343</v>
      </c>
      <c r="M43" s="38">
        <v>351</v>
      </c>
      <c r="N43" s="38">
        <v>363</v>
      </c>
      <c r="O43" s="38">
        <v>349</v>
      </c>
      <c r="P43" s="38">
        <f t="shared" si="4"/>
        <v>4129</v>
      </c>
      <c r="Q43" s="38">
        <f>P38+P39*2+P40*5+P41*10+P42*15+P43*20</f>
        <v>160280</v>
      </c>
      <c r="R43" s="54">
        <f>Q43/$Q$56*100</f>
        <v>54.565076036372176</v>
      </c>
      <c r="S43" s="55">
        <f>Q43/U43*100</f>
        <v>94.221386161895254</v>
      </c>
      <c r="U43" s="43">
        <v>170110</v>
      </c>
    </row>
    <row r="44" spans="2:21" ht="3.75" customHeight="1" x14ac:dyDescent="0.15">
      <c r="C44" s="61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54"/>
      <c r="S44" s="55"/>
    </row>
    <row r="45" spans="2:21" ht="9" customHeight="1" x14ac:dyDescent="0.15">
      <c r="B45" s="73" t="s">
        <v>86</v>
      </c>
      <c r="C45" s="61" t="s">
        <v>67</v>
      </c>
      <c r="D45" s="38">
        <v>12</v>
      </c>
      <c r="E45" s="74">
        <v>9</v>
      </c>
      <c r="F45" s="38">
        <v>12</v>
      </c>
      <c r="G45" s="38">
        <v>7</v>
      </c>
      <c r="H45" s="38">
        <v>8</v>
      </c>
      <c r="I45" s="38">
        <v>21</v>
      </c>
      <c r="J45" s="38">
        <v>18</v>
      </c>
      <c r="K45" s="38">
        <v>24</v>
      </c>
      <c r="L45" s="38">
        <v>11</v>
      </c>
      <c r="M45" s="38">
        <v>15</v>
      </c>
      <c r="N45" s="38">
        <v>12</v>
      </c>
      <c r="O45" s="38">
        <v>11</v>
      </c>
      <c r="P45" s="38">
        <f>+SUM(D45:O45)</f>
        <v>160</v>
      </c>
      <c r="Q45" s="38"/>
      <c r="R45" s="54"/>
      <c r="S45" s="55"/>
    </row>
    <row r="46" spans="2:21" ht="9" customHeight="1" x14ac:dyDescent="0.15">
      <c r="C46" s="61" t="s">
        <v>68</v>
      </c>
      <c r="D46" s="38">
        <v>0</v>
      </c>
      <c r="E46" s="38">
        <v>0</v>
      </c>
      <c r="F46" s="32">
        <v>1</v>
      </c>
      <c r="G46" s="74">
        <v>0</v>
      </c>
      <c r="H46" s="74">
        <v>3</v>
      </c>
      <c r="I46" s="38">
        <v>2</v>
      </c>
      <c r="J46" s="38">
        <v>1</v>
      </c>
      <c r="K46" s="38">
        <v>2</v>
      </c>
      <c r="L46" s="38">
        <v>2</v>
      </c>
      <c r="M46" s="38">
        <v>1</v>
      </c>
      <c r="N46" s="38">
        <v>0</v>
      </c>
      <c r="O46" s="38">
        <v>2</v>
      </c>
      <c r="P46" s="38">
        <f>+SUM(D46:O46)</f>
        <v>14</v>
      </c>
      <c r="Q46" s="38"/>
      <c r="R46" s="54"/>
      <c r="S46" s="55"/>
    </row>
    <row r="47" spans="2:21" ht="9" customHeight="1" x14ac:dyDescent="0.15">
      <c r="C47" s="61" t="s">
        <v>69</v>
      </c>
      <c r="D47" s="38">
        <v>5</v>
      </c>
      <c r="E47" s="38">
        <v>16</v>
      </c>
      <c r="F47" s="74">
        <v>8</v>
      </c>
      <c r="G47" s="38">
        <v>13</v>
      </c>
      <c r="H47" s="38">
        <v>8</v>
      </c>
      <c r="I47" s="38">
        <v>8</v>
      </c>
      <c r="J47" s="38">
        <v>10</v>
      </c>
      <c r="K47" s="38">
        <v>2</v>
      </c>
      <c r="L47" s="38">
        <v>6</v>
      </c>
      <c r="M47" s="38">
        <v>9</v>
      </c>
      <c r="N47" s="38">
        <v>10</v>
      </c>
      <c r="O47" s="38">
        <v>15</v>
      </c>
      <c r="P47" s="38">
        <f>+SUM(D47:O47)</f>
        <v>110</v>
      </c>
      <c r="Q47" s="38">
        <f>P45*10+P46*15+P47*20</f>
        <v>4010</v>
      </c>
      <c r="R47" s="54">
        <f>Q47/$Q$56*100</f>
        <v>1.3651482087961844</v>
      </c>
      <c r="S47" s="55">
        <f>Q47/U47*100</f>
        <v>155.12572533849129</v>
      </c>
      <c r="U47" s="43">
        <v>2585</v>
      </c>
    </row>
    <row r="48" spans="2:21" ht="3.75" customHeight="1" x14ac:dyDescent="0.15">
      <c r="C48" s="6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54"/>
      <c r="S48" s="55"/>
    </row>
    <row r="49" spans="2:21" ht="9" customHeight="1" x14ac:dyDescent="0.15">
      <c r="B49" s="43" t="s">
        <v>87</v>
      </c>
      <c r="C49" s="61"/>
      <c r="D49" s="75">
        <v>19</v>
      </c>
      <c r="E49" s="75">
        <v>53</v>
      </c>
      <c r="F49" s="75">
        <v>32</v>
      </c>
      <c r="G49" s="75">
        <v>48</v>
      </c>
      <c r="H49" s="75">
        <v>36</v>
      </c>
      <c r="I49" s="75">
        <v>42</v>
      </c>
      <c r="J49" s="75">
        <v>41</v>
      </c>
      <c r="K49" s="75">
        <v>56</v>
      </c>
      <c r="L49" s="75">
        <v>44</v>
      </c>
      <c r="M49" s="75">
        <v>53</v>
      </c>
      <c r="N49" s="75">
        <v>26</v>
      </c>
      <c r="O49" s="75">
        <v>36</v>
      </c>
      <c r="P49" s="38">
        <f>+SUM(D49:O49)</f>
        <v>486</v>
      </c>
      <c r="Q49" s="32">
        <f>P49*10</f>
        <v>4860</v>
      </c>
      <c r="R49" s="54">
        <f>Q49/$Q$56*100</f>
        <v>1.6545187767455001</v>
      </c>
      <c r="S49" s="55">
        <f>Q49/U49*100</f>
        <v>160.9271523178808</v>
      </c>
      <c r="U49" s="43">
        <v>3020</v>
      </c>
    </row>
    <row r="50" spans="2:21" ht="3.75" customHeight="1" x14ac:dyDescent="0.15">
      <c r="C50" s="61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38"/>
      <c r="Q50" s="32"/>
      <c r="R50" s="54"/>
      <c r="S50" s="55"/>
    </row>
    <row r="51" spans="2:21" ht="9" customHeight="1" x14ac:dyDescent="0.15">
      <c r="B51" s="43" t="s">
        <v>88</v>
      </c>
      <c r="C51" s="61"/>
      <c r="D51" s="32">
        <v>11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8">
        <f>+SUM(D51:O51)</f>
        <v>11</v>
      </c>
      <c r="Q51" s="32">
        <f>P51*10</f>
        <v>110</v>
      </c>
      <c r="R51" s="54">
        <f>Q51/$Q$56*100</f>
        <v>3.744795585226441E-2</v>
      </c>
      <c r="S51" s="55"/>
      <c r="U51" s="43">
        <v>20</v>
      </c>
    </row>
    <row r="52" spans="2:21" ht="3.75" customHeight="1" x14ac:dyDescent="0.15">
      <c r="C52" s="6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54"/>
      <c r="S52" s="55"/>
    </row>
    <row r="53" spans="2:21" ht="9" customHeight="1" x14ac:dyDescent="0.15">
      <c r="B53" s="43" t="s">
        <v>60</v>
      </c>
      <c r="C53" s="61"/>
      <c r="D53" s="32">
        <f>D38+D39*2+D40*5+(D41+D45+D49+D51)*10+(D42+D46)*15+(D43+D47)*20</f>
        <v>14555</v>
      </c>
      <c r="E53" s="32">
        <f>E38+E39*2+E40*5+E41*10+E42*15+E43*20+E45*10+E46*15+E47*20+E49*10+E51*10</f>
        <v>15180</v>
      </c>
      <c r="F53" s="32">
        <f t="shared" ref="F53:P53" si="5">F38+F39*2+F40*5+(F41+F45+F49+F51)*10+(F42+F46)*15+(F43+F47)*20</f>
        <v>14565</v>
      </c>
      <c r="G53" s="32">
        <f t="shared" si="5"/>
        <v>14120</v>
      </c>
      <c r="H53" s="32">
        <f t="shared" si="5"/>
        <v>14010</v>
      </c>
      <c r="I53" s="32">
        <f t="shared" si="5"/>
        <v>13245</v>
      </c>
      <c r="J53" s="32">
        <f t="shared" si="5"/>
        <v>14270</v>
      </c>
      <c r="K53" s="32">
        <f t="shared" si="5"/>
        <v>13520</v>
      </c>
      <c r="L53" s="32">
        <f t="shared" si="5"/>
        <v>14745</v>
      </c>
      <c r="M53" s="32">
        <f t="shared" si="5"/>
        <v>13705</v>
      </c>
      <c r="N53" s="32">
        <f t="shared" si="5"/>
        <v>13690</v>
      </c>
      <c r="O53" s="32">
        <f t="shared" si="5"/>
        <v>13655</v>
      </c>
      <c r="P53" s="32">
        <f t="shared" si="5"/>
        <v>169260</v>
      </c>
      <c r="Q53" s="32">
        <f>+SUM(Q38:Q51)</f>
        <v>169260</v>
      </c>
      <c r="R53" s="55">
        <f>Q53/$Q$56*100</f>
        <v>57.622190977766131</v>
      </c>
      <c r="S53" s="55">
        <f>Q53/U53*100</f>
        <v>96.315475004979092</v>
      </c>
      <c r="U53" s="43">
        <v>175735</v>
      </c>
    </row>
    <row r="54" spans="2:21" ht="9" customHeight="1" x14ac:dyDescent="0.15">
      <c r="B54" s="43" t="s">
        <v>61</v>
      </c>
      <c r="C54" s="61"/>
      <c r="D54" s="64">
        <f>D53/D65*100</f>
        <v>104.82535109830752</v>
      </c>
      <c r="E54" s="64">
        <f t="shared" ref="E54:Q54" si="6">E53/E65*100</f>
        <v>112.40281377267678</v>
      </c>
      <c r="F54" s="64">
        <f t="shared" si="6"/>
        <v>107.17439293598234</v>
      </c>
      <c r="G54" s="64">
        <f t="shared" si="6"/>
        <v>107.21336370539103</v>
      </c>
      <c r="H54" s="64">
        <f t="shared" si="6"/>
        <v>101.66908563134977</v>
      </c>
      <c r="I54" s="64">
        <f t="shared" si="6"/>
        <v>99.849227289860536</v>
      </c>
      <c r="J54" s="64">
        <f t="shared" si="6"/>
        <v>105.39143279172822</v>
      </c>
      <c r="K54" s="64">
        <f t="shared" si="6"/>
        <v>105.91461026243636</v>
      </c>
      <c r="L54" s="64">
        <f t="shared" si="6"/>
        <v>114.92595479345285</v>
      </c>
      <c r="M54" s="64">
        <f t="shared" si="6"/>
        <v>109.68387354941977</v>
      </c>
      <c r="N54" s="64">
        <f t="shared" si="6"/>
        <v>110.22544283413849</v>
      </c>
      <c r="O54" s="64">
        <f t="shared" si="6"/>
        <v>100.18341892883345</v>
      </c>
      <c r="P54" s="64">
        <f t="shared" si="6"/>
        <v>106.53658536585367</v>
      </c>
      <c r="Q54" s="64">
        <f t="shared" si="6"/>
        <v>106.53658536585367</v>
      </c>
      <c r="R54" s="55"/>
      <c r="S54" s="55"/>
      <c r="U54" s="43">
        <v>100</v>
      </c>
    </row>
    <row r="55" spans="2:21" ht="3.75" customHeight="1" x14ac:dyDescent="0.15">
      <c r="C55" s="6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76"/>
      <c r="R55" s="55"/>
      <c r="S55" s="55"/>
    </row>
    <row r="56" spans="2:21" ht="9" customHeight="1" x14ac:dyDescent="0.15">
      <c r="B56" s="43" t="s">
        <v>70</v>
      </c>
      <c r="C56" s="61"/>
      <c r="D56" s="32">
        <f>D28+D35+D53</f>
        <v>25593</v>
      </c>
      <c r="E56" s="32">
        <f t="shared" ref="E56:P56" si="7">E28+E35+E53</f>
        <v>25728</v>
      </c>
      <c r="F56" s="32">
        <f t="shared" si="7"/>
        <v>24777</v>
      </c>
      <c r="G56" s="32">
        <f t="shared" si="7"/>
        <v>24669</v>
      </c>
      <c r="H56" s="32">
        <f t="shared" si="7"/>
        <v>24725</v>
      </c>
      <c r="I56" s="32">
        <f t="shared" si="7"/>
        <v>22778</v>
      </c>
      <c r="J56" s="32">
        <f t="shared" si="7"/>
        <v>25194</v>
      </c>
      <c r="K56" s="32">
        <f t="shared" si="7"/>
        <v>23402</v>
      </c>
      <c r="L56" s="32">
        <f t="shared" si="7"/>
        <v>25578</v>
      </c>
      <c r="M56" s="32">
        <f t="shared" si="7"/>
        <v>24259</v>
      </c>
      <c r="N56" s="32">
        <f t="shared" si="7"/>
        <v>23389</v>
      </c>
      <c r="O56" s="32">
        <f t="shared" si="7"/>
        <v>23649</v>
      </c>
      <c r="P56" s="32">
        <f t="shared" si="7"/>
        <v>293741</v>
      </c>
      <c r="Q56" s="32">
        <f>Q11+Q28+Q35+Q53</f>
        <v>293741</v>
      </c>
      <c r="R56" s="55">
        <f>Q56/$Q$56*100</f>
        <v>100</v>
      </c>
      <c r="S56" s="55">
        <f>Q56/U56*100</f>
        <v>98.327296828659229</v>
      </c>
      <c r="U56" s="43">
        <v>298738</v>
      </c>
    </row>
    <row r="57" spans="2:21" ht="3.75" customHeight="1" x14ac:dyDescent="0.15">
      <c r="C57" s="6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77"/>
      <c r="O57" s="22"/>
      <c r="P57" s="22"/>
      <c r="Q57" s="22"/>
      <c r="R57" s="54"/>
      <c r="S57" s="55"/>
    </row>
    <row r="58" spans="2:21" ht="9" customHeight="1" x14ac:dyDescent="0.15">
      <c r="B58" s="43" t="s">
        <v>57</v>
      </c>
      <c r="C58" s="61"/>
      <c r="D58" s="64">
        <f t="shared" ref="D58:Q58" si="8">D56/D66*100</f>
        <v>108.55070619671714</v>
      </c>
      <c r="E58" s="64">
        <f t="shared" si="8"/>
        <v>110.00983452345321</v>
      </c>
      <c r="F58" s="64">
        <f t="shared" si="8"/>
        <v>105.59130620072447</v>
      </c>
      <c r="G58" s="64">
        <f t="shared" si="8"/>
        <v>105.59455526067974</v>
      </c>
      <c r="H58" s="64">
        <f t="shared" si="8"/>
        <v>101.20338913675249</v>
      </c>
      <c r="I58" s="64">
        <f t="shared" si="8"/>
        <v>100.04831554442835</v>
      </c>
      <c r="J58" s="64">
        <f t="shared" si="8"/>
        <v>104.26253931468298</v>
      </c>
      <c r="K58" s="64">
        <f t="shared" si="8"/>
        <v>98.796808375902387</v>
      </c>
      <c r="L58" s="64">
        <f t="shared" si="8"/>
        <v>106.68613138686132</v>
      </c>
      <c r="M58" s="64">
        <f t="shared" si="8"/>
        <v>105.50143515699747</v>
      </c>
      <c r="N58" s="64">
        <f t="shared" si="8"/>
        <v>106.91136810348769</v>
      </c>
      <c r="O58" s="64">
        <f t="shared" si="8"/>
        <v>101.09434446201855</v>
      </c>
      <c r="P58" s="64">
        <f t="shared" si="8"/>
        <v>104.50478335272291</v>
      </c>
      <c r="Q58" s="64">
        <f t="shared" si="8"/>
        <v>104.50478335272291</v>
      </c>
      <c r="R58" s="54" t="s">
        <v>137</v>
      </c>
      <c r="S58" s="55" t="s">
        <v>137</v>
      </c>
      <c r="U58" s="43">
        <v>100</v>
      </c>
    </row>
    <row r="59" spans="2:21" ht="3.75" customHeight="1" x14ac:dyDescent="0.15">
      <c r="B59" s="56"/>
      <c r="C59" s="57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9"/>
      <c r="S59" s="60"/>
    </row>
    <row r="60" spans="2:21" ht="15" customHeight="1" x14ac:dyDescent="0.15">
      <c r="B60" s="43" t="s">
        <v>138</v>
      </c>
    </row>
    <row r="61" spans="2:21" x14ac:dyDescent="0.15">
      <c r="B61" s="43" t="s">
        <v>140</v>
      </c>
    </row>
    <row r="63" spans="2:21" x14ac:dyDescent="0.15">
      <c r="C63" s="43" t="s">
        <v>150</v>
      </c>
      <c r="D63" s="43">
        <v>7899</v>
      </c>
      <c r="E63" s="43">
        <v>8031</v>
      </c>
      <c r="F63" s="43">
        <v>8070</v>
      </c>
      <c r="G63" s="43">
        <v>7905</v>
      </c>
      <c r="H63" s="43">
        <v>8098</v>
      </c>
      <c r="I63" s="43">
        <v>7960</v>
      </c>
      <c r="J63" s="43">
        <v>8378</v>
      </c>
      <c r="K63" s="43">
        <v>8470</v>
      </c>
      <c r="L63" s="43">
        <v>8533</v>
      </c>
      <c r="M63" s="43">
        <v>8368</v>
      </c>
      <c r="N63" s="43">
        <v>7890</v>
      </c>
      <c r="O63" s="43">
        <v>8060</v>
      </c>
      <c r="P63" s="43">
        <v>97662</v>
      </c>
      <c r="Q63" s="43">
        <v>97662</v>
      </c>
      <c r="U63" s="43">
        <v>98086</v>
      </c>
    </row>
    <row r="64" spans="2:21" x14ac:dyDescent="0.15">
      <c r="D64" s="43">
        <v>1793</v>
      </c>
      <c r="E64" s="43">
        <v>1851</v>
      </c>
      <c r="F64" s="43">
        <v>1805</v>
      </c>
      <c r="G64" s="43">
        <v>2287</v>
      </c>
      <c r="H64" s="43">
        <v>2553</v>
      </c>
      <c r="I64" s="43">
        <v>1542</v>
      </c>
      <c r="J64" s="43">
        <v>2246</v>
      </c>
      <c r="K64" s="43">
        <v>2452</v>
      </c>
      <c r="L64" s="43">
        <v>2612</v>
      </c>
      <c r="M64" s="43">
        <v>2131</v>
      </c>
      <c r="N64" s="43">
        <v>1567</v>
      </c>
      <c r="O64" s="43">
        <v>1703</v>
      </c>
      <c r="P64" s="43">
        <v>24542</v>
      </c>
      <c r="Q64" s="43">
        <v>24542</v>
      </c>
      <c r="U64" s="43">
        <v>24917</v>
      </c>
    </row>
    <row r="65" spans="4:21" x14ac:dyDescent="0.15">
      <c r="D65" s="43">
        <v>13885</v>
      </c>
      <c r="E65" s="43">
        <v>13505</v>
      </c>
      <c r="F65" s="43">
        <v>13590</v>
      </c>
      <c r="G65" s="43">
        <v>13170</v>
      </c>
      <c r="H65" s="43">
        <v>13780</v>
      </c>
      <c r="I65" s="43">
        <v>13265</v>
      </c>
      <c r="J65" s="43">
        <v>13540</v>
      </c>
      <c r="K65" s="43">
        <v>12765</v>
      </c>
      <c r="L65" s="43">
        <v>12830</v>
      </c>
      <c r="M65" s="43">
        <v>12495</v>
      </c>
      <c r="N65" s="43">
        <v>12420</v>
      </c>
      <c r="O65" s="43">
        <v>13630</v>
      </c>
      <c r="P65" s="43">
        <v>158875</v>
      </c>
      <c r="Q65" s="43">
        <v>158875</v>
      </c>
      <c r="U65" s="43">
        <v>175735</v>
      </c>
    </row>
    <row r="66" spans="4:21" x14ac:dyDescent="0.15">
      <c r="D66" s="43">
        <v>23577</v>
      </c>
      <c r="E66" s="43">
        <v>23387</v>
      </c>
      <c r="F66" s="43">
        <v>23465</v>
      </c>
      <c r="G66" s="43">
        <v>23362</v>
      </c>
      <c r="H66" s="43">
        <v>24431</v>
      </c>
      <c r="I66" s="43">
        <v>22767</v>
      </c>
      <c r="J66" s="43">
        <v>24164</v>
      </c>
      <c r="K66" s="43">
        <v>23687</v>
      </c>
      <c r="L66" s="43">
        <v>23975</v>
      </c>
      <c r="M66" s="43">
        <v>22994</v>
      </c>
      <c r="N66" s="43">
        <v>21877</v>
      </c>
      <c r="O66" s="43">
        <v>23393</v>
      </c>
      <c r="P66" s="43">
        <v>281079</v>
      </c>
      <c r="Q66" s="43">
        <v>281079</v>
      </c>
      <c r="U66" s="43">
        <v>298738</v>
      </c>
    </row>
  </sheetData>
  <mergeCells count="2">
    <mergeCell ref="Q2:S2"/>
    <mergeCell ref="B4:C4"/>
  </mergeCells>
  <phoneticPr fontId="2"/>
  <pageMargins left="0.78740157480314965" right="0.78740157480314965" top="0.94488188976377963" bottom="0.98425196850393704" header="0.51181102362204722" footer="0.51181102362204722"/>
  <pageSetup paperSize="9" scale="92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8-1</vt:lpstr>
      <vt:lpstr>8-2</vt:lpstr>
      <vt:lpstr>8-3</vt:lpstr>
      <vt:lpstr>8-4</vt:lpstr>
      <vt:lpstr>8-5-1</vt:lpstr>
      <vt:lpstr>8-5-2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modified xsi:type="dcterms:W3CDTF">2026-02-02T06:01:20Z</dcterms:modified>
</cp:coreProperties>
</file>