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項目別総括表\"/>
    </mc:Choice>
  </mc:AlternateContent>
  <xr:revisionPtr revIDLastSave="0" documentId="13_ncr:1_{F89367DB-CDAE-4C0A-9DC1-AE26637046FB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目次" sheetId="2" r:id="rId1"/>
    <sheet name="31-1" sheetId="30" r:id="rId2"/>
    <sheet name="31-2" sheetId="31" r:id="rId3"/>
    <sheet name="31-3 " sheetId="32" r:id="rId4"/>
    <sheet name="31-4" sheetId="33" r:id="rId5"/>
    <sheet name="31-5 " sheetId="34" r:id="rId6"/>
    <sheet name="31-6" sheetId="35" r:id="rId7"/>
    <sheet name="31-7" sheetId="36" r:id="rId8"/>
  </sheets>
  <definedNames>
    <definedName name="_xlnm.Print_Area" localSheetId="1">'31-1'!$A$1:$Q$48</definedName>
    <definedName name="_xlnm.Print_Area" localSheetId="2">'31-2'!$A$1:$L$26</definedName>
    <definedName name="_xlnm.Print_Area" localSheetId="3">'31-3 '!$A$1:$L$28</definedName>
    <definedName name="_xlnm.Print_Area" localSheetId="0">目次!$B$1:$F$11</definedName>
    <definedName name="Z_0E116FB7_B4BD_467A_AC07_8F557B6E1CA2_.wvu.PrintArea" localSheetId="1" hidden="1">'31-1'!$A$1:$Q$48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9" i="36" l="1"/>
  <c r="V118" i="36"/>
  <c r="V116" i="36"/>
  <c r="V115" i="36"/>
  <c r="V114" i="36"/>
  <c r="V112" i="36"/>
  <c r="U116" i="36"/>
  <c r="U115" i="36"/>
  <c r="U114" i="36"/>
  <c r="U112" i="36"/>
  <c r="R119" i="36"/>
  <c r="R118" i="36"/>
  <c r="R116" i="36"/>
  <c r="R115" i="36"/>
  <c r="R114" i="36"/>
  <c r="R112" i="36"/>
  <c r="P119" i="36"/>
  <c r="P118" i="36"/>
  <c r="P116" i="36"/>
  <c r="P115" i="36"/>
  <c r="P114" i="36"/>
  <c r="P112" i="36"/>
  <c r="O119" i="36"/>
  <c r="O118" i="36"/>
  <c r="O116" i="36"/>
  <c r="O115" i="36"/>
  <c r="O114" i="36"/>
  <c r="O112" i="36"/>
  <c r="N119" i="36"/>
  <c r="N118" i="36"/>
  <c r="N116" i="36"/>
  <c r="N115" i="36"/>
  <c r="N114" i="36"/>
  <c r="N112" i="36"/>
  <c r="M119" i="36"/>
  <c r="M118" i="36"/>
  <c r="M116" i="36"/>
  <c r="M115" i="36"/>
  <c r="M114" i="36"/>
  <c r="M112" i="36"/>
  <c r="L119" i="36"/>
  <c r="L118" i="36"/>
  <c r="L116" i="36"/>
  <c r="L115" i="36"/>
  <c r="L114" i="36"/>
  <c r="L112" i="36"/>
  <c r="K119" i="36"/>
  <c r="K118" i="36"/>
  <c r="K116" i="36"/>
  <c r="K115" i="36"/>
  <c r="K114" i="36"/>
  <c r="K112" i="36"/>
  <c r="J115" i="36"/>
  <c r="J114" i="36"/>
  <c r="J112" i="36"/>
  <c r="I115" i="36"/>
  <c r="I114" i="36"/>
  <c r="I112" i="36"/>
  <c r="H119" i="36"/>
  <c r="H118" i="36"/>
  <c r="H116" i="36"/>
  <c r="H115" i="36"/>
  <c r="H114" i="36"/>
  <c r="H112" i="36"/>
  <c r="G119" i="36"/>
  <c r="G118" i="36"/>
  <c r="G116" i="36"/>
  <c r="G115" i="36"/>
  <c r="G114" i="36"/>
  <c r="G112" i="36"/>
  <c r="F119" i="36"/>
  <c r="F118" i="36"/>
  <c r="F116" i="36"/>
  <c r="F115" i="36"/>
  <c r="F114" i="36"/>
  <c r="F112" i="36"/>
  <c r="E119" i="36"/>
  <c r="E118" i="36"/>
  <c r="E116" i="36"/>
  <c r="E115" i="36"/>
  <c r="E114" i="36"/>
  <c r="E112" i="36"/>
  <c r="R113" i="36" l="1"/>
  <c r="O113" i="36"/>
  <c r="L117" i="36" l="1"/>
  <c r="K117" i="36"/>
  <c r="F117" i="36"/>
  <c r="E117" i="36"/>
  <c r="V117" i="36"/>
  <c r="U117" i="36"/>
  <c r="T117" i="36"/>
  <c r="S117" i="36"/>
  <c r="R117" i="36"/>
  <c r="R111" i="36" s="1"/>
  <c r="Q117" i="36"/>
  <c r="Q111" i="36" s="1"/>
  <c r="P117" i="36"/>
  <c r="O117" i="36"/>
  <c r="N117" i="36"/>
  <c r="N111" i="36" s="1"/>
  <c r="M117" i="36"/>
  <c r="J117" i="36"/>
  <c r="I117" i="36"/>
  <c r="H117" i="36"/>
  <c r="G117" i="36"/>
  <c r="V113" i="36"/>
  <c r="U113" i="36"/>
  <c r="O111" i="36"/>
  <c r="I113" i="36"/>
  <c r="G113" i="36"/>
  <c r="G111" i="36" s="1"/>
  <c r="T113" i="36"/>
  <c r="S113" i="36"/>
  <c r="S111" i="36" s="1"/>
  <c r="Q113" i="36"/>
  <c r="P113" i="36"/>
  <c r="N113" i="36"/>
  <c r="M113" i="36"/>
  <c r="L113" i="36"/>
  <c r="K113" i="36"/>
  <c r="J113" i="36"/>
  <c r="J111" i="36" s="1"/>
  <c r="H113" i="36"/>
  <c r="F113" i="36"/>
  <c r="E113" i="36"/>
  <c r="U110" i="36"/>
  <c r="R110" i="36"/>
  <c r="O110" i="36"/>
  <c r="M110" i="36"/>
  <c r="L110" i="36"/>
  <c r="J110" i="36"/>
  <c r="G110" i="36"/>
  <c r="E110" i="36"/>
  <c r="T111" i="36"/>
  <c r="V110" i="36"/>
  <c r="T110" i="36"/>
  <c r="S110" i="36"/>
  <c r="Q110" i="36"/>
  <c r="P110" i="36"/>
  <c r="N110" i="36"/>
  <c r="K110" i="36"/>
  <c r="I110" i="36"/>
  <c r="H110" i="36"/>
  <c r="F110" i="36"/>
  <c r="F19" i="31"/>
  <c r="C19" i="31"/>
  <c r="F18" i="31"/>
  <c r="C18" i="31"/>
  <c r="L32" i="30"/>
  <c r="L31" i="30"/>
  <c r="C31" i="30"/>
  <c r="V105" i="36"/>
  <c r="R105" i="36"/>
  <c r="P105" i="36"/>
  <c r="O105" i="36"/>
  <c r="N105" i="36"/>
  <c r="N103" i="36" s="1"/>
  <c r="M105" i="36"/>
  <c r="M103" i="36" s="1"/>
  <c r="L105" i="36"/>
  <c r="K105" i="36"/>
  <c r="K103" i="36" s="1"/>
  <c r="H105" i="36"/>
  <c r="G105" i="36"/>
  <c r="F105" i="36"/>
  <c r="E105" i="36"/>
  <c r="V104" i="36"/>
  <c r="V103" i="36" s="1"/>
  <c r="R104" i="36"/>
  <c r="R103" i="36" s="1"/>
  <c r="P104" i="36"/>
  <c r="O104" i="36"/>
  <c r="O103" i="36" s="1"/>
  <c r="N104" i="36"/>
  <c r="M104" i="36"/>
  <c r="L104" i="36"/>
  <c r="K104" i="36"/>
  <c r="H104" i="36"/>
  <c r="G104" i="36"/>
  <c r="G103" i="36" s="1"/>
  <c r="F104" i="36"/>
  <c r="E104" i="36"/>
  <c r="E103" i="36" s="1"/>
  <c r="U103" i="36"/>
  <c r="T103" i="36"/>
  <c r="S103" i="36"/>
  <c r="Q103" i="36"/>
  <c r="P103" i="36"/>
  <c r="J103" i="36"/>
  <c r="I103" i="36"/>
  <c r="H103" i="36"/>
  <c r="V102" i="36"/>
  <c r="U102" i="36"/>
  <c r="R102" i="36"/>
  <c r="P102" i="36"/>
  <c r="O102" i="36"/>
  <c r="N102" i="36"/>
  <c r="M102" i="36"/>
  <c r="L102" i="36"/>
  <c r="K102" i="36"/>
  <c r="H102" i="36"/>
  <c r="G102" i="36"/>
  <c r="F102" i="36"/>
  <c r="E102" i="36"/>
  <c r="V101" i="36"/>
  <c r="U101" i="36"/>
  <c r="R101" i="36"/>
  <c r="P101" i="36"/>
  <c r="O101" i="36"/>
  <c r="N101" i="36"/>
  <c r="M101" i="36"/>
  <c r="L101" i="36"/>
  <c r="L99" i="36" s="1"/>
  <c r="K101" i="36"/>
  <c r="I101" i="36"/>
  <c r="H101" i="36"/>
  <c r="G101" i="36"/>
  <c r="F101" i="36"/>
  <c r="E101" i="36"/>
  <c r="V100" i="36"/>
  <c r="V99" i="36" s="1"/>
  <c r="V97" i="36" s="1"/>
  <c r="U100" i="36"/>
  <c r="U99" i="36" s="1"/>
  <c r="U97" i="36" s="1"/>
  <c r="R100" i="36"/>
  <c r="P100" i="36"/>
  <c r="P99" i="36" s="1"/>
  <c r="O100" i="36"/>
  <c r="N100" i="36"/>
  <c r="M100" i="36"/>
  <c r="M99" i="36" s="1"/>
  <c r="L100" i="36"/>
  <c r="K100" i="36"/>
  <c r="J100" i="36"/>
  <c r="J99" i="36" s="1"/>
  <c r="J97" i="36" s="1"/>
  <c r="I100" i="36"/>
  <c r="H100" i="36"/>
  <c r="G100" i="36"/>
  <c r="G99" i="36" s="1"/>
  <c r="F100" i="36"/>
  <c r="E100" i="36"/>
  <c r="E99" i="36" s="1"/>
  <c r="T99" i="36"/>
  <c r="S99" i="36"/>
  <c r="S97" i="36" s="1"/>
  <c r="Q99" i="36"/>
  <c r="Q97" i="36" s="1"/>
  <c r="N99" i="36"/>
  <c r="F99" i="36"/>
  <c r="V98" i="36"/>
  <c r="U98" i="36"/>
  <c r="U96" i="36" s="1"/>
  <c r="R98" i="36"/>
  <c r="P98" i="36"/>
  <c r="P96" i="36" s="1"/>
  <c r="O98" i="36"/>
  <c r="O96" i="36" s="1"/>
  <c r="N98" i="36"/>
  <c r="M98" i="36"/>
  <c r="L98" i="36"/>
  <c r="K98" i="36"/>
  <c r="K96" i="36" s="1"/>
  <c r="J98" i="36"/>
  <c r="J96" i="36" s="1"/>
  <c r="I98" i="36"/>
  <c r="H98" i="36"/>
  <c r="G98" i="36"/>
  <c r="F98" i="36"/>
  <c r="F96" i="36" s="1"/>
  <c r="E98" i="36"/>
  <c r="T97" i="36"/>
  <c r="V96" i="36"/>
  <c r="T96" i="36"/>
  <c r="S96" i="36"/>
  <c r="Q96" i="36"/>
  <c r="N96" i="36"/>
  <c r="I96" i="36"/>
  <c r="H96" i="36"/>
  <c r="G96" i="36"/>
  <c r="V91" i="36"/>
  <c r="R91" i="36"/>
  <c r="Q91" i="36"/>
  <c r="P91" i="36"/>
  <c r="P89" i="36" s="1"/>
  <c r="O91" i="36"/>
  <c r="N91" i="36"/>
  <c r="N89" i="36" s="1"/>
  <c r="N83" i="36" s="1"/>
  <c r="M91" i="36"/>
  <c r="M89" i="36" s="1"/>
  <c r="L91" i="36"/>
  <c r="K91" i="36"/>
  <c r="H91" i="36"/>
  <c r="G91" i="36"/>
  <c r="F91" i="36"/>
  <c r="E91" i="36"/>
  <c r="V90" i="36"/>
  <c r="V89" i="36" s="1"/>
  <c r="V83" i="36" s="1"/>
  <c r="U90" i="36"/>
  <c r="U89" i="36" s="1"/>
  <c r="U83" i="36" s="1"/>
  <c r="R90" i="36"/>
  <c r="Q90" i="36"/>
  <c r="P90" i="36"/>
  <c r="O90" i="36"/>
  <c r="N90" i="36"/>
  <c r="M90" i="36"/>
  <c r="L90" i="36"/>
  <c r="L89" i="36" s="1"/>
  <c r="K90" i="36"/>
  <c r="K89" i="36" s="1"/>
  <c r="H90" i="36"/>
  <c r="G90" i="36"/>
  <c r="G89" i="36" s="1"/>
  <c r="F90" i="36"/>
  <c r="F89" i="36" s="1"/>
  <c r="E90" i="36"/>
  <c r="T89" i="36"/>
  <c r="S89" i="36"/>
  <c r="R89" i="36"/>
  <c r="Q89" i="36"/>
  <c r="J89" i="36"/>
  <c r="I89" i="36"/>
  <c r="H89" i="36"/>
  <c r="E89" i="36"/>
  <c r="V88" i="36"/>
  <c r="U88" i="36"/>
  <c r="R88" i="36"/>
  <c r="Q88" i="36"/>
  <c r="P88" i="36"/>
  <c r="O88" i="36"/>
  <c r="N88" i="36"/>
  <c r="M88" i="36"/>
  <c r="L88" i="36"/>
  <c r="K88" i="36"/>
  <c r="H88" i="36"/>
  <c r="H82" i="36" s="1"/>
  <c r="G88" i="36"/>
  <c r="F88" i="36"/>
  <c r="E88" i="36"/>
  <c r="V87" i="36"/>
  <c r="U87" i="36"/>
  <c r="R87" i="36"/>
  <c r="Q87" i="36"/>
  <c r="P87" i="36"/>
  <c r="O87" i="36"/>
  <c r="N87" i="36"/>
  <c r="M87" i="36"/>
  <c r="L87" i="36"/>
  <c r="K87" i="36"/>
  <c r="J87" i="36"/>
  <c r="I87" i="36"/>
  <c r="H87" i="36"/>
  <c r="G87" i="36"/>
  <c r="F87" i="36"/>
  <c r="E87" i="36"/>
  <c r="V86" i="36"/>
  <c r="U86" i="36"/>
  <c r="R86" i="36"/>
  <c r="Q86" i="36"/>
  <c r="Q85" i="36" s="1"/>
  <c r="P86" i="36"/>
  <c r="O86" i="36"/>
  <c r="O85" i="36" s="1"/>
  <c r="N86" i="36"/>
  <c r="M86" i="36"/>
  <c r="M85" i="36" s="1"/>
  <c r="L86" i="36"/>
  <c r="K86" i="36"/>
  <c r="K85" i="36" s="1"/>
  <c r="J86" i="36"/>
  <c r="J85" i="36" s="1"/>
  <c r="J83" i="36" s="1"/>
  <c r="I86" i="36"/>
  <c r="I85" i="36" s="1"/>
  <c r="I83" i="36" s="1"/>
  <c r="H86" i="36"/>
  <c r="H85" i="36" s="1"/>
  <c r="H83" i="36" s="1"/>
  <c r="G86" i="36"/>
  <c r="G85" i="36" s="1"/>
  <c r="F86" i="36"/>
  <c r="E86" i="36"/>
  <c r="V85" i="36"/>
  <c r="U85" i="36"/>
  <c r="T85" i="36"/>
  <c r="T83" i="36" s="1"/>
  <c r="S85" i="36"/>
  <c r="S83" i="36" s="1"/>
  <c r="P85" i="36"/>
  <c r="N85" i="36"/>
  <c r="L85" i="36"/>
  <c r="F85" i="36"/>
  <c r="F83" i="36" s="1"/>
  <c r="E85" i="36"/>
  <c r="E83" i="36" s="1"/>
  <c r="V84" i="36"/>
  <c r="U84" i="36"/>
  <c r="U82" i="36" s="1"/>
  <c r="R84" i="36"/>
  <c r="Q84" i="36"/>
  <c r="P84" i="36"/>
  <c r="O84" i="36"/>
  <c r="N84" i="36"/>
  <c r="N82" i="36" s="1"/>
  <c r="M84" i="36"/>
  <c r="L84" i="36"/>
  <c r="K84" i="36"/>
  <c r="K82" i="36" s="1"/>
  <c r="J84" i="36"/>
  <c r="I84" i="36"/>
  <c r="I82" i="36" s="1"/>
  <c r="H84" i="36"/>
  <c r="G84" i="36"/>
  <c r="G82" i="36" s="1"/>
  <c r="F84" i="36"/>
  <c r="F82" i="36" s="1"/>
  <c r="E84" i="36"/>
  <c r="E82" i="36" s="1"/>
  <c r="T82" i="36"/>
  <c r="S82" i="36"/>
  <c r="R82" i="36"/>
  <c r="Q82" i="36"/>
  <c r="P82" i="36"/>
  <c r="O82" i="36"/>
  <c r="J82" i="36"/>
  <c r="V75" i="36"/>
  <c r="U75" i="36"/>
  <c r="T75" i="36"/>
  <c r="S75" i="36"/>
  <c r="R75" i="36"/>
  <c r="Q75" i="36"/>
  <c r="P75" i="36"/>
  <c r="O75" i="36"/>
  <c r="N75" i="36"/>
  <c r="M75" i="36"/>
  <c r="L75" i="36"/>
  <c r="K75" i="36"/>
  <c r="J75" i="36"/>
  <c r="I75" i="36"/>
  <c r="H75" i="36"/>
  <c r="G75" i="36"/>
  <c r="F75" i="36"/>
  <c r="E75" i="36"/>
  <c r="V71" i="36"/>
  <c r="V69" i="36" s="1"/>
  <c r="U71" i="36"/>
  <c r="U69" i="36" s="1"/>
  <c r="T71" i="36"/>
  <c r="S71" i="36"/>
  <c r="R71" i="36"/>
  <c r="Q71" i="36"/>
  <c r="P71" i="36"/>
  <c r="P69" i="36" s="1"/>
  <c r="O71" i="36"/>
  <c r="O69" i="36" s="1"/>
  <c r="N71" i="36"/>
  <c r="M71" i="36"/>
  <c r="L71" i="36"/>
  <c r="K71" i="36"/>
  <c r="J71" i="36"/>
  <c r="I71" i="36"/>
  <c r="H71" i="36"/>
  <c r="H69" i="36" s="1"/>
  <c r="G71" i="36"/>
  <c r="G69" i="36" s="1"/>
  <c r="F71" i="36"/>
  <c r="F69" i="36" s="1"/>
  <c r="E71" i="36"/>
  <c r="E69" i="36" s="1"/>
  <c r="N69" i="36"/>
  <c r="M69" i="36"/>
  <c r="V68" i="36"/>
  <c r="U68" i="36"/>
  <c r="T68" i="36"/>
  <c r="S68" i="36"/>
  <c r="R68" i="36"/>
  <c r="Q68" i="36"/>
  <c r="P68" i="36"/>
  <c r="O68" i="36"/>
  <c r="N68" i="36"/>
  <c r="M68" i="36"/>
  <c r="L68" i="36"/>
  <c r="K68" i="36"/>
  <c r="J68" i="36"/>
  <c r="I68" i="36"/>
  <c r="H68" i="36"/>
  <c r="G68" i="36"/>
  <c r="F68" i="36"/>
  <c r="E68" i="36"/>
  <c r="V61" i="36"/>
  <c r="U61" i="36"/>
  <c r="T61" i="36"/>
  <c r="S61" i="36"/>
  <c r="R61" i="36"/>
  <c r="Q61" i="36"/>
  <c r="P61" i="36"/>
  <c r="O61" i="36"/>
  <c r="N61" i="36"/>
  <c r="M61" i="36"/>
  <c r="L61" i="36"/>
  <c r="K61" i="36"/>
  <c r="J61" i="36"/>
  <c r="I61" i="36"/>
  <c r="H61" i="36"/>
  <c r="G61" i="36"/>
  <c r="F61" i="36"/>
  <c r="E61" i="36"/>
  <c r="V57" i="36"/>
  <c r="V55" i="36" s="1"/>
  <c r="U57" i="36"/>
  <c r="U55" i="36" s="1"/>
  <c r="T57" i="36"/>
  <c r="S57" i="36"/>
  <c r="R57" i="36"/>
  <c r="Q57" i="36"/>
  <c r="P57" i="36"/>
  <c r="P55" i="36" s="1"/>
  <c r="O57" i="36"/>
  <c r="O55" i="36" s="1"/>
  <c r="N57" i="36"/>
  <c r="N55" i="36" s="1"/>
  <c r="M57" i="36"/>
  <c r="L57" i="36"/>
  <c r="K57" i="36"/>
  <c r="J57" i="36"/>
  <c r="I57" i="36"/>
  <c r="H57" i="36"/>
  <c r="G57" i="36"/>
  <c r="G55" i="36" s="1"/>
  <c r="F57" i="36"/>
  <c r="F55" i="36" s="1"/>
  <c r="E57" i="36"/>
  <c r="E55" i="36" s="1"/>
  <c r="M55" i="36"/>
  <c r="H55" i="36"/>
  <c r="V54" i="36"/>
  <c r="U54" i="36"/>
  <c r="T54" i="36"/>
  <c r="S54" i="36"/>
  <c r="R54" i="36"/>
  <c r="Q54" i="36"/>
  <c r="P54" i="36"/>
  <c r="O54" i="36"/>
  <c r="N54" i="36"/>
  <c r="M54" i="36"/>
  <c r="L54" i="36"/>
  <c r="K54" i="36"/>
  <c r="J54" i="36"/>
  <c r="I54" i="36"/>
  <c r="H54" i="36"/>
  <c r="G54" i="36"/>
  <c r="F54" i="36"/>
  <c r="E54" i="36"/>
  <c r="V111" i="36" l="1"/>
  <c r="U111" i="36"/>
  <c r="P111" i="36"/>
  <c r="M111" i="36"/>
  <c r="L111" i="36"/>
  <c r="K111" i="36"/>
  <c r="I111" i="36"/>
  <c r="H111" i="36"/>
  <c r="F111" i="36"/>
  <c r="E111" i="36"/>
  <c r="K83" i="36"/>
  <c r="M83" i="36"/>
  <c r="L82" i="36"/>
  <c r="V82" i="36"/>
  <c r="E97" i="36"/>
  <c r="M82" i="36"/>
  <c r="Q83" i="36"/>
  <c r="I99" i="36"/>
  <c r="I97" i="36" s="1"/>
  <c r="R99" i="36"/>
  <c r="K99" i="36"/>
  <c r="F103" i="36"/>
  <c r="F97" i="36" s="1"/>
  <c r="L103" i="36"/>
  <c r="L97" i="36" s="1"/>
  <c r="R85" i="36"/>
  <c r="R83" i="36" s="1"/>
  <c r="P97" i="36"/>
  <c r="N97" i="36"/>
  <c r="I55" i="36"/>
  <c r="Q55" i="36"/>
  <c r="I69" i="36"/>
  <c r="Q69" i="36"/>
  <c r="O89" i="36"/>
  <c r="L96" i="36"/>
  <c r="R96" i="36"/>
  <c r="L83" i="36"/>
  <c r="P83" i="36"/>
  <c r="E96" i="36"/>
  <c r="M96" i="36"/>
  <c r="M97" i="36"/>
  <c r="K55" i="36"/>
  <c r="S55" i="36"/>
  <c r="K69" i="36"/>
  <c r="S69" i="36"/>
  <c r="L55" i="36"/>
  <c r="T55" i="36"/>
  <c r="J55" i="36"/>
  <c r="R55" i="36"/>
  <c r="L69" i="36"/>
  <c r="T69" i="36"/>
  <c r="J69" i="36"/>
  <c r="R69" i="36"/>
  <c r="G97" i="36"/>
  <c r="O99" i="36"/>
  <c r="H99" i="36"/>
  <c r="H97" i="36" s="1"/>
  <c r="R97" i="36"/>
  <c r="K97" i="36"/>
  <c r="G83" i="36"/>
  <c r="O83" i="36"/>
  <c r="O97" i="36"/>
  <c r="K47" i="34" l="1"/>
  <c r="H47" i="34"/>
  <c r="G47" i="34"/>
  <c r="F47" i="34"/>
  <c r="E47" i="34"/>
  <c r="D47" i="34"/>
  <c r="C47" i="34"/>
  <c r="K43" i="34"/>
  <c r="H43" i="34"/>
  <c r="G43" i="34"/>
  <c r="F43" i="34"/>
  <c r="E43" i="34"/>
  <c r="D43" i="34"/>
  <c r="C43" i="34"/>
  <c r="K39" i="34"/>
  <c r="H39" i="34"/>
  <c r="G39" i="34"/>
  <c r="F39" i="34"/>
  <c r="E39" i="34"/>
  <c r="D39" i="34"/>
  <c r="C39" i="34"/>
  <c r="C37" i="34"/>
  <c r="C36" i="34"/>
  <c r="C35" i="34" s="1"/>
  <c r="K35" i="34"/>
  <c r="H35" i="34"/>
  <c r="G35" i="34"/>
  <c r="F35" i="34"/>
  <c r="E35" i="34"/>
  <c r="D35" i="34"/>
  <c r="C33" i="34"/>
  <c r="C32" i="34"/>
  <c r="C31" i="34" s="1"/>
  <c r="F17" i="31"/>
  <c r="C17" i="31"/>
  <c r="F16" i="31"/>
  <c r="F15" i="31"/>
  <c r="C15" i="31"/>
  <c r="F14" i="31"/>
  <c r="F13" i="31"/>
  <c r="C13" i="31"/>
  <c r="F12" i="31"/>
</calcChain>
</file>

<file path=xl/sharedStrings.xml><?xml version="1.0" encoding="utf-8"?>
<sst xmlns="http://schemas.openxmlformats.org/spreadsheetml/2006/main" count="633" uniqueCount="234">
  <si>
    <t>注：１）指定医療機関(旧国立療養所)及び定員のない施設は除く。</t>
    <rPh sb="4" eb="6">
      <t>シテイ</t>
    </rPh>
    <rPh sb="6" eb="8">
      <t>イリョウ</t>
    </rPh>
    <rPh sb="8" eb="10">
      <t>キカン</t>
    </rPh>
    <rPh sb="11" eb="12">
      <t>キュウ</t>
    </rPh>
    <phoneticPr fontId="2"/>
  </si>
  <si>
    <t>年</t>
  </si>
  <si>
    <t>福祉
ホーム</t>
    <rPh sb="0" eb="2">
      <t>フクシ</t>
    </rPh>
    <phoneticPr fontId="3"/>
  </si>
  <si>
    <t>身体障害者
小規模通所
授産施設</t>
    <rPh sb="0" eb="2">
      <t>シンタイ</t>
    </rPh>
    <rPh sb="2" eb="5">
      <t>ショウガイシャ</t>
    </rPh>
    <rPh sb="6" eb="9">
      <t>ショウキボ</t>
    </rPh>
    <rPh sb="9" eb="11">
      <t>ツウショ</t>
    </rPh>
    <rPh sb="12" eb="14">
      <t>ジュサン</t>
    </rPh>
    <rPh sb="14" eb="16">
      <t>シセツ</t>
    </rPh>
    <phoneticPr fontId="3"/>
  </si>
  <si>
    <t>身体障害者
通所授産
施設</t>
    <rPh sb="0" eb="2">
      <t>シンタイ</t>
    </rPh>
    <rPh sb="2" eb="5">
      <t>ショウガイシャ</t>
    </rPh>
    <rPh sb="6" eb="8">
      <t>ツウショ</t>
    </rPh>
    <rPh sb="8" eb="10">
      <t>ジュサン</t>
    </rPh>
    <rPh sb="11" eb="13">
      <t>シセツ</t>
    </rPh>
    <phoneticPr fontId="3"/>
  </si>
  <si>
    <t>身体障害者
療護施設</t>
    <rPh sb="0" eb="2">
      <t>シンタイ</t>
    </rPh>
    <rPh sb="2" eb="5">
      <t>ショウガイシャ</t>
    </rPh>
    <rPh sb="6" eb="8">
      <t>リョウゴ</t>
    </rPh>
    <rPh sb="8" eb="10">
      <t>シセツ</t>
    </rPh>
    <phoneticPr fontId="3"/>
  </si>
  <si>
    <t>肢体不自由
者更生施設</t>
    <rPh sb="0" eb="2">
      <t>シタイ</t>
    </rPh>
    <rPh sb="2" eb="5">
      <t>フジユウ</t>
    </rPh>
    <rPh sb="6" eb="7">
      <t>シャ</t>
    </rPh>
    <rPh sb="7" eb="9">
      <t>コウセイ</t>
    </rPh>
    <rPh sb="9" eb="11">
      <t>シセツ</t>
    </rPh>
    <phoneticPr fontId="3"/>
  </si>
  <si>
    <t>総　数</t>
  </si>
  <si>
    <t>通勤寮</t>
  </si>
  <si>
    <t>知的障害者
小規模通所
授産施設</t>
    <rPh sb="2" eb="4">
      <t>ショウガイ</t>
    </rPh>
    <rPh sb="4" eb="5">
      <t>シャ</t>
    </rPh>
    <rPh sb="6" eb="9">
      <t>ショウキボ</t>
    </rPh>
    <rPh sb="9" eb="11">
      <t>ツウショ</t>
    </rPh>
    <rPh sb="12" eb="14">
      <t>ジュサン</t>
    </rPh>
    <rPh sb="14" eb="16">
      <t>シセツ</t>
    </rPh>
    <phoneticPr fontId="3"/>
  </si>
  <si>
    <t>知的障害者
通所授産
施設</t>
    <rPh sb="2" eb="4">
      <t>ショウガイ</t>
    </rPh>
    <rPh sb="4" eb="5">
      <t>シャ</t>
    </rPh>
    <rPh sb="6" eb="8">
      <t>ツウショ</t>
    </rPh>
    <rPh sb="8" eb="10">
      <t>ジュサン</t>
    </rPh>
    <rPh sb="11" eb="13">
      <t>シセツ</t>
    </rPh>
    <phoneticPr fontId="3"/>
  </si>
  <si>
    <t>知的障害者
入所授産
施設</t>
    <rPh sb="2" eb="4">
      <t>ショウガイ</t>
    </rPh>
    <rPh sb="4" eb="5">
      <t>シャ</t>
    </rPh>
    <rPh sb="6" eb="8">
      <t>ニュウショ</t>
    </rPh>
    <rPh sb="8" eb="10">
      <t>ジュサン</t>
    </rPh>
    <rPh sb="11" eb="13">
      <t>シセツ</t>
    </rPh>
    <phoneticPr fontId="3"/>
  </si>
  <si>
    <t>知的障害者
通所更生
施設</t>
    <rPh sb="2" eb="4">
      <t>ショウガイ</t>
    </rPh>
    <rPh sb="4" eb="5">
      <t>シャ</t>
    </rPh>
    <rPh sb="6" eb="8">
      <t>ツウショ</t>
    </rPh>
    <rPh sb="8" eb="10">
      <t>コウセイ</t>
    </rPh>
    <rPh sb="11" eb="13">
      <t>シセツ</t>
    </rPh>
    <phoneticPr fontId="3"/>
  </si>
  <si>
    <t>知的障害者
入所更生
施設</t>
    <rPh sb="2" eb="4">
      <t>ショウガイ</t>
    </rPh>
    <rPh sb="4" eb="5">
      <t>シャ</t>
    </rPh>
    <rPh sb="6" eb="8">
      <t>ニュウショ</t>
    </rPh>
    <rPh sb="8" eb="10">
      <t>コウセイ</t>
    </rPh>
    <rPh sb="11" eb="13">
      <t>シセツ</t>
    </rPh>
    <phoneticPr fontId="3"/>
  </si>
  <si>
    <t>身 体 障 害 者 更 生 援 護 施 設　（旧法）</t>
    <rPh sb="23" eb="25">
      <t>キュウホウ</t>
    </rPh>
    <phoneticPr fontId="3"/>
  </si>
  <si>
    <t>知　的　障　害　者　援　護　施　設　（旧法）</t>
    <rPh sb="19" eb="21">
      <t>キュウホウ</t>
    </rPh>
    <phoneticPr fontId="3"/>
  </si>
  <si>
    <t>注：１）児童デイサービスについては、平成24年4月1日から児童福祉法に基づく障害児通所支援（児童発達支援、放課後等デイサービス）に移行。</t>
    <rPh sb="4" eb="6">
      <t>ジドウ</t>
    </rPh>
    <rPh sb="18" eb="20">
      <t>ヘイセイ</t>
    </rPh>
    <rPh sb="22" eb="23">
      <t>ネン</t>
    </rPh>
    <rPh sb="24" eb="25">
      <t>ガツ</t>
    </rPh>
    <rPh sb="26" eb="27">
      <t>ニチ</t>
    </rPh>
    <rPh sb="29" eb="31">
      <t>ジドウ</t>
    </rPh>
    <rPh sb="31" eb="34">
      <t>フクシホウ</t>
    </rPh>
    <rPh sb="35" eb="36">
      <t>モト</t>
    </rPh>
    <rPh sb="38" eb="41">
      <t>ショウガイジ</t>
    </rPh>
    <rPh sb="41" eb="43">
      <t>ツウショ</t>
    </rPh>
    <rPh sb="43" eb="45">
      <t>シエン</t>
    </rPh>
    <rPh sb="46" eb="48">
      <t>ジドウ</t>
    </rPh>
    <rPh sb="48" eb="50">
      <t>ハッタツ</t>
    </rPh>
    <rPh sb="50" eb="52">
      <t>シエン</t>
    </rPh>
    <rPh sb="53" eb="56">
      <t>ホウカゴ</t>
    </rPh>
    <rPh sb="56" eb="57">
      <t>トウ</t>
    </rPh>
    <rPh sb="65" eb="67">
      <t>イコウ</t>
    </rPh>
    <phoneticPr fontId="2"/>
  </si>
  <si>
    <t>共同生活
介護・援助</t>
    <rPh sb="0" eb="2">
      <t>キョウドウ</t>
    </rPh>
    <rPh sb="2" eb="4">
      <t>セイカツ</t>
    </rPh>
    <rPh sb="5" eb="7">
      <t>カイゴ</t>
    </rPh>
    <rPh sb="8" eb="10">
      <t>エンジョ</t>
    </rPh>
    <phoneticPr fontId="3"/>
  </si>
  <si>
    <t>施設入所
支援</t>
    <rPh sb="0" eb="2">
      <t>シセツ</t>
    </rPh>
    <rPh sb="2" eb="4">
      <t>ニュウショ</t>
    </rPh>
    <rPh sb="5" eb="7">
      <t>シエン</t>
    </rPh>
    <phoneticPr fontId="3"/>
  </si>
  <si>
    <t>総数</t>
    <rPh sb="0" eb="2">
      <t>ソウスウ</t>
    </rPh>
    <phoneticPr fontId="3"/>
  </si>
  <si>
    <t>就労継続
支援B型</t>
    <rPh sb="0" eb="2">
      <t>シュウロウ</t>
    </rPh>
    <rPh sb="2" eb="4">
      <t>ケイゾク</t>
    </rPh>
    <rPh sb="5" eb="7">
      <t>シエン</t>
    </rPh>
    <rPh sb="8" eb="9">
      <t>ガタ</t>
    </rPh>
    <phoneticPr fontId="3"/>
  </si>
  <si>
    <t>就労継続
支援A型</t>
    <rPh sb="0" eb="2">
      <t>シュウロウ</t>
    </rPh>
    <rPh sb="2" eb="4">
      <t>ケイゾク</t>
    </rPh>
    <rPh sb="5" eb="7">
      <t>シエン</t>
    </rPh>
    <rPh sb="8" eb="9">
      <t>ガタ</t>
    </rPh>
    <phoneticPr fontId="3"/>
  </si>
  <si>
    <t>就労移行
支援</t>
    <rPh sb="0" eb="2">
      <t>シュウロウ</t>
    </rPh>
    <rPh sb="2" eb="4">
      <t>イコウ</t>
    </rPh>
    <rPh sb="5" eb="7">
      <t>シエン</t>
    </rPh>
    <phoneticPr fontId="3"/>
  </si>
  <si>
    <t>自立訓練
(生活訓練)</t>
    <rPh sb="0" eb="2">
      <t>ジリツ</t>
    </rPh>
    <rPh sb="2" eb="4">
      <t>クンレン</t>
    </rPh>
    <rPh sb="6" eb="8">
      <t>セイカツ</t>
    </rPh>
    <rPh sb="8" eb="10">
      <t>クンレン</t>
    </rPh>
    <phoneticPr fontId="3"/>
  </si>
  <si>
    <t>自立訓練
(機能訓練)</t>
    <rPh sb="0" eb="2">
      <t>ジリツ</t>
    </rPh>
    <rPh sb="2" eb="4">
      <t>クンレン</t>
    </rPh>
    <rPh sb="6" eb="8">
      <t>キノウ</t>
    </rPh>
    <rPh sb="8" eb="10">
      <t>クンレン</t>
    </rPh>
    <phoneticPr fontId="3"/>
  </si>
  <si>
    <t>児童デイ
サービス</t>
    <rPh sb="0" eb="2">
      <t>ジドウ</t>
    </rPh>
    <phoneticPr fontId="3"/>
  </si>
  <si>
    <t>生活
介護</t>
    <rPh sb="0" eb="2">
      <t>セイカツ</t>
    </rPh>
    <rPh sb="3" eb="5">
      <t>カイゴ</t>
    </rPh>
    <phoneticPr fontId="3"/>
  </si>
  <si>
    <t>療養
介護</t>
    <rPh sb="0" eb="2">
      <t>リョウヨウ</t>
    </rPh>
    <rPh sb="3" eb="5">
      <t>カイゴ</t>
    </rPh>
    <phoneticPr fontId="3"/>
  </si>
  <si>
    <t>居住系サービス</t>
    <rPh sb="0" eb="2">
      <t>キョジュウ</t>
    </rPh>
    <rPh sb="2" eb="3">
      <t>ケイ</t>
    </rPh>
    <phoneticPr fontId="3"/>
  </si>
  <si>
    <t>日中活動系サービス</t>
    <rPh sb="0" eb="2">
      <t>ニッチュウ</t>
    </rPh>
    <rPh sb="2" eb="4">
      <t>カツドウ</t>
    </rPh>
    <rPh sb="4" eb="5">
      <t>ケイ</t>
    </rPh>
    <phoneticPr fontId="3"/>
  </si>
  <si>
    <t>障害者総合支援法に基づく障害者支援施設、障害福祉サービス事業所</t>
    <rPh sb="0" eb="3">
      <t>ショウガイシャ</t>
    </rPh>
    <rPh sb="3" eb="5">
      <t>ソウゴウ</t>
    </rPh>
    <rPh sb="5" eb="7">
      <t>シエン</t>
    </rPh>
    <rPh sb="7" eb="8">
      <t>ホウ</t>
    </rPh>
    <rPh sb="9" eb="10">
      <t>モト</t>
    </rPh>
    <rPh sb="12" eb="15">
      <t>ショウガイシャ</t>
    </rPh>
    <rPh sb="15" eb="17">
      <t>シエン</t>
    </rPh>
    <rPh sb="17" eb="19">
      <t>シセツ</t>
    </rPh>
    <rPh sb="20" eb="22">
      <t>ショウガイ</t>
    </rPh>
    <rPh sb="22" eb="24">
      <t>フクシ</t>
    </rPh>
    <rPh sb="28" eb="31">
      <t>ジギョウショ</t>
    </rPh>
    <phoneticPr fontId="3"/>
  </si>
  <si>
    <t>&lt;表番号&gt;</t>
    <rPh sb="1" eb="2">
      <t>ヒョウ</t>
    </rPh>
    <rPh sb="2" eb="4">
      <t>バンゴウ</t>
    </rPh>
    <phoneticPr fontId="8"/>
  </si>
  <si>
    <t>&lt;　表　題　&gt;</t>
    <rPh sb="2" eb="3">
      <t>オモテ</t>
    </rPh>
    <rPh sb="4" eb="5">
      <t>ダイ</t>
    </rPh>
    <phoneticPr fontId="8"/>
  </si>
  <si>
    <t>&lt;担当所属&gt;</t>
    <rPh sb="1" eb="3">
      <t>タントウ</t>
    </rPh>
    <rPh sb="3" eb="5">
      <t>ショゾク</t>
    </rPh>
    <phoneticPr fontId="8"/>
  </si>
  <si>
    <t>障害福祉課</t>
    <rPh sb="0" eb="2">
      <t>ショウガイ</t>
    </rPh>
    <rPh sb="2" eb="5">
      <t>フクシカ</t>
    </rPh>
    <phoneticPr fontId="8"/>
  </si>
  <si>
    <t>障害福祉サービス事業所等の状況（種類別）</t>
    <rPh sb="0" eb="2">
      <t>ショウガイ</t>
    </rPh>
    <rPh sb="2" eb="4">
      <t>フクシ</t>
    </rPh>
    <rPh sb="8" eb="10">
      <t>ジギョウ</t>
    </rPh>
    <rPh sb="10" eb="11">
      <t>ショ</t>
    </rPh>
    <rPh sb="11" eb="12">
      <t>トウ</t>
    </rPh>
    <rPh sb="13" eb="15">
      <t>ジョウキョウ</t>
    </rPh>
    <rPh sb="16" eb="19">
      <t>シュルイベツ</t>
    </rPh>
    <phoneticPr fontId="8"/>
  </si>
  <si>
    <t>障害児入所施設等の状況（種類別）</t>
    <rPh sb="12" eb="15">
      <t>シュルイベツ</t>
    </rPh>
    <phoneticPr fontId="8"/>
  </si>
  <si>
    <t xml:space="preserve">重度心身障害者医療費助成状況        </t>
  </si>
  <si>
    <t xml:space="preserve">身体障害者の自立支援医療費（更生医療）支給決定状況、障害別       </t>
    <rPh sb="6" eb="8">
      <t>ジリツ</t>
    </rPh>
    <rPh sb="8" eb="10">
      <t>シエン</t>
    </rPh>
    <rPh sb="10" eb="13">
      <t>イリョウヒ</t>
    </rPh>
    <rPh sb="19" eb="21">
      <t>シキュウ</t>
    </rPh>
    <rPh sb="21" eb="23">
      <t>ケッテイ</t>
    </rPh>
    <phoneticPr fontId="8"/>
  </si>
  <si>
    <t xml:space="preserve">特別障害者手当等受給状況、年度別  </t>
    <rPh sb="7" eb="8">
      <t>ナド</t>
    </rPh>
    <phoneticPr fontId="8"/>
  </si>
  <si>
    <t xml:space="preserve">特別児童扶養手当受給状況、世帯・年度別     </t>
  </si>
  <si>
    <t xml:space="preserve">身体障害者・児の補装具費支給決定状況、補装具種類別     </t>
    <rPh sb="11" eb="12">
      <t>ヒ</t>
    </rPh>
    <rPh sb="12" eb="14">
      <t>シキュウ</t>
    </rPh>
    <phoneticPr fontId="8"/>
  </si>
  <si>
    <t>児童福祉法に基づく障害児入所施設等</t>
    <rPh sb="0" eb="2">
      <t>ジドウ</t>
    </rPh>
    <rPh sb="2" eb="5">
      <t>フクシホウ</t>
    </rPh>
    <rPh sb="6" eb="7">
      <t>モト</t>
    </rPh>
    <rPh sb="9" eb="12">
      <t>ショウガイジ</t>
    </rPh>
    <rPh sb="12" eb="14">
      <t>ニュウショ</t>
    </rPh>
    <rPh sb="14" eb="16">
      <t>シセツ</t>
    </rPh>
    <rPh sb="16" eb="17">
      <t>トウ</t>
    </rPh>
    <phoneticPr fontId="2"/>
  </si>
  <si>
    <t>障害児入所施設</t>
    <rPh sb="0" eb="3">
      <t>ショウガイジ</t>
    </rPh>
    <rPh sb="3" eb="5">
      <t>ニュウショ</t>
    </rPh>
    <rPh sb="5" eb="7">
      <t>シセツ</t>
    </rPh>
    <phoneticPr fontId="3"/>
  </si>
  <si>
    <t>障害児通所支援事業所・施設</t>
    <rPh sb="0" eb="3">
      <t>ショウガイジ</t>
    </rPh>
    <rPh sb="3" eb="5">
      <t>ツウショ</t>
    </rPh>
    <rPh sb="5" eb="7">
      <t>シエン</t>
    </rPh>
    <rPh sb="7" eb="10">
      <t>ジギョウショ</t>
    </rPh>
    <rPh sb="11" eb="13">
      <t>シセツ</t>
    </rPh>
    <phoneticPr fontId="2"/>
  </si>
  <si>
    <t>福祉型障害
児入所施設</t>
    <rPh sb="0" eb="3">
      <t>フクシガタ</t>
    </rPh>
    <rPh sb="3" eb="5">
      <t>ショウガイ</t>
    </rPh>
    <rPh sb="6" eb="7">
      <t>ジ</t>
    </rPh>
    <rPh sb="7" eb="9">
      <t>ニュウショ</t>
    </rPh>
    <rPh sb="9" eb="11">
      <t>シセツ</t>
    </rPh>
    <phoneticPr fontId="2"/>
  </si>
  <si>
    <t>医療型障害
児入所施設</t>
    <rPh sb="0" eb="2">
      <t>イリョウ</t>
    </rPh>
    <rPh sb="2" eb="3">
      <t>ガタ</t>
    </rPh>
    <rPh sb="3" eb="5">
      <t>ショウガイ</t>
    </rPh>
    <rPh sb="6" eb="7">
      <t>ジ</t>
    </rPh>
    <rPh sb="7" eb="9">
      <t>ニュウショ</t>
    </rPh>
    <rPh sb="9" eb="11">
      <t>シセツ</t>
    </rPh>
    <phoneticPr fontId="2"/>
  </si>
  <si>
    <t>総数</t>
    <rPh sb="0" eb="2">
      <t>ソウスウ</t>
    </rPh>
    <phoneticPr fontId="2"/>
  </si>
  <si>
    <t>児童発達
支援
センター</t>
    <rPh sb="0" eb="2">
      <t>ジドウ</t>
    </rPh>
    <rPh sb="2" eb="4">
      <t>ハッタツ</t>
    </rPh>
    <rPh sb="5" eb="7">
      <t>シエン</t>
    </rPh>
    <phoneticPr fontId="2"/>
  </si>
  <si>
    <t>医療型児童
発達支援
センター</t>
    <rPh sb="0" eb="2">
      <t>イリョウ</t>
    </rPh>
    <rPh sb="2" eb="3">
      <t>ガタ</t>
    </rPh>
    <rPh sb="3" eb="5">
      <t>ジドウ</t>
    </rPh>
    <rPh sb="6" eb="8">
      <t>ハッタツ</t>
    </rPh>
    <rPh sb="8" eb="10">
      <t>シエン</t>
    </rPh>
    <phoneticPr fontId="2"/>
  </si>
  <si>
    <t>児童発達
支援
（センター
以外）</t>
    <rPh sb="0" eb="2">
      <t>ジドウ</t>
    </rPh>
    <rPh sb="2" eb="4">
      <t>ハッタツ</t>
    </rPh>
    <rPh sb="5" eb="7">
      <t>シエン</t>
    </rPh>
    <rPh sb="14" eb="16">
      <t>イガイ</t>
    </rPh>
    <phoneticPr fontId="2"/>
  </si>
  <si>
    <t>放課後等
デイ
サービス</t>
    <rPh sb="0" eb="3">
      <t>ホウカゴ</t>
    </rPh>
    <rPh sb="3" eb="4">
      <t>トウ</t>
    </rPh>
    <phoneticPr fontId="2"/>
  </si>
  <si>
    <t>受給資格者数</t>
    <rPh sb="0" eb="2">
      <t>ジュキュウ</t>
    </rPh>
    <rPh sb="2" eb="4">
      <t>シカク</t>
    </rPh>
    <rPh sb="4" eb="5">
      <t>シャ</t>
    </rPh>
    <phoneticPr fontId="3"/>
  </si>
  <si>
    <t>助    成    額</t>
  </si>
  <si>
    <t>助 成 件 数</t>
  </si>
  <si>
    <t>平成22年度</t>
    <rPh sb="0" eb="2">
      <t>ヘイセイ</t>
    </rPh>
    <rPh sb="4" eb="5">
      <t>ネン</t>
    </rPh>
    <rPh sb="5" eb="6">
      <t>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</si>
  <si>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</si>
  <si>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</si>
  <si>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</si>
  <si>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聴覚・平衡</t>
  </si>
  <si>
    <t>音声・言語</t>
  </si>
  <si>
    <t>小腸</t>
    <rPh sb="0" eb="2">
      <t>ショウチョウ</t>
    </rPh>
    <phoneticPr fontId="3"/>
  </si>
  <si>
    <t>肝臓</t>
    <rPh sb="0" eb="2">
      <t>カンゾウ</t>
    </rPh>
    <phoneticPr fontId="3"/>
  </si>
  <si>
    <t>免疫</t>
    <rPh sb="0" eb="2">
      <t>メンエキ</t>
    </rPh>
    <phoneticPr fontId="3"/>
  </si>
  <si>
    <t>肢体不自由</t>
  </si>
  <si>
    <t>訪問看護</t>
    <rPh sb="0" eb="2">
      <t>ホウモン</t>
    </rPh>
    <rPh sb="2" eb="4">
      <t>カンゴ</t>
    </rPh>
    <phoneticPr fontId="3"/>
  </si>
  <si>
    <t>機能障害</t>
    <rPh sb="0" eb="2">
      <t>キノウ</t>
    </rPh>
    <rPh sb="2" eb="4">
      <t>ショウガイ</t>
    </rPh>
    <phoneticPr fontId="3"/>
  </si>
  <si>
    <t>平成</t>
    <rPh sb="0" eb="2">
      <t>ヘイセイ</t>
    </rPh>
    <phoneticPr fontId="3"/>
  </si>
  <si>
    <t>件数</t>
    <rPh sb="0" eb="2">
      <t>ケンスウ</t>
    </rPh>
    <phoneticPr fontId="3"/>
  </si>
  <si>
    <t>公費負担額</t>
    <rPh sb="0" eb="2">
      <t>コウヒ</t>
    </rPh>
    <rPh sb="2" eb="5">
      <t>フタンガク</t>
    </rPh>
    <phoneticPr fontId="3"/>
  </si>
  <si>
    <t>社会保険負担額</t>
    <rPh sb="0" eb="2">
      <t>シャカイ</t>
    </rPh>
    <rPh sb="2" eb="4">
      <t>ホケン</t>
    </rPh>
    <rPh sb="4" eb="7">
      <t>フタンガク</t>
    </rPh>
    <phoneticPr fontId="3"/>
  </si>
  <si>
    <t>年度</t>
    <rPh sb="0" eb="2">
      <t>ネンド</t>
    </rPh>
    <phoneticPr fontId="3"/>
  </si>
  <si>
    <t>後期高齢負担額</t>
    <rPh sb="0" eb="2">
      <t>コウキ</t>
    </rPh>
    <rPh sb="2" eb="4">
      <t>コウレイ</t>
    </rPh>
    <rPh sb="4" eb="7">
      <t>フタンガク</t>
    </rPh>
    <phoneticPr fontId="3"/>
  </si>
  <si>
    <t>自己負担額</t>
    <rPh sb="0" eb="2">
      <t>ジコ</t>
    </rPh>
    <rPh sb="2" eb="5">
      <t>フタンガク</t>
    </rPh>
    <phoneticPr fontId="3"/>
  </si>
  <si>
    <t>特別障害者</t>
  </si>
  <si>
    <t>障害児福祉</t>
  </si>
  <si>
    <t>福祉手当</t>
    <rPh sb="0" eb="2">
      <t>フクシ</t>
    </rPh>
    <rPh sb="2" eb="4">
      <t>テアテ</t>
    </rPh>
    <phoneticPr fontId="3"/>
  </si>
  <si>
    <t>手　　　当</t>
  </si>
  <si>
    <t>(経過措置分)</t>
    <rPh sb="1" eb="3">
      <t>ケイカ</t>
    </rPh>
    <rPh sb="3" eb="5">
      <t>ソチ</t>
    </rPh>
    <rPh sb="5" eb="6">
      <t>ブン</t>
    </rPh>
    <phoneticPr fontId="3"/>
  </si>
  <si>
    <t>注：１）特別障害者手当､障害児福祉手当、福祉手当(経過措置分）については延支給人数(人月)</t>
    <rPh sb="20" eb="22">
      <t>フクシ</t>
    </rPh>
    <rPh sb="22" eb="24">
      <t>テアテ</t>
    </rPh>
    <rPh sb="25" eb="27">
      <t>ケイカ</t>
    </rPh>
    <rPh sb="27" eb="29">
      <t>ソチ</t>
    </rPh>
    <rPh sb="29" eb="30">
      <t>ブン</t>
    </rPh>
    <phoneticPr fontId="3"/>
  </si>
  <si>
    <t xml:space="preserve"> </t>
  </si>
  <si>
    <t>支　　給　　対　　象　　障     害     児     数</t>
    <rPh sb="0" eb="1">
      <t>シ</t>
    </rPh>
    <rPh sb="3" eb="4">
      <t>キュウ</t>
    </rPh>
    <rPh sb="6" eb="7">
      <t>タイ</t>
    </rPh>
    <rPh sb="9" eb="10">
      <t>ゾウ</t>
    </rPh>
    <rPh sb="12" eb="13">
      <t>ショウ</t>
    </rPh>
    <phoneticPr fontId="3"/>
  </si>
  <si>
    <t>受給世帯</t>
  </si>
  <si>
    <t>総    数</t>
  </si>
  <si>
    <t>重複障害</t>
  </si>
  <si>
    <t>外    部</t>
  </si>
  <si>
    <t>内    部</t>
  </si>
  <si>
    <t>知的障害
のみ</t>
    <rPh sb="0" eb="2">
      <t>チテキ</t>
    </rPh>
    <rPh sb="2" eb="4">
      <t>ショウガイ</t>
    </rPh>
    <phoneticPr fontId="3"/>
  </si>
  <si>
    <t>知的障害及び
知的障害以外
の精神障害</t>
    <rPh sb="0" eb="2">
      <t>チテキ</t>
    </rPh>
    <rPh sb="2" eb="4">
      <t>ショウガイ</t>
    </rPh>
    <rPh sb="4" eb="5">
      <t>オヨ</t>
    </rPh>
    <rPh sb="7" eb="9">
      <t>チテキ</t>
    </rPh>
    <rPh sb="9" eb="11">
      <t>ショウガイ</t>
    </rPh>
    <rPh sb="11" eb="13">
      <t>イガイ</t>
    </rPh>
    <rPh sb="15" eb="17">
      <t>セイシン</t>
    </rPh>
    <rPh sb="17" eb="19">
      <t>ショウガイ</t>
    </rPh>
    <phoneticPr fontId="3"/>
  </si>
  <si>
    <t>知的障害以外の                  精神障害のみ</t>
    <rPh sb="0" eb="2">
      <t>チテキ</t>
    </rPh>
    <rPh sb="2" eb="4">
      <t>ショウガイ</t>
    </rPh>
    <rPh sb="4" eb="6">
      <t>イガイ</t>
    </rPh>
    <rPh sb="25" eb="27">
      <t>セイシン</t>
    </rPh>
    <rPh sb="27" eb="29">
      <t>ショウガイ</t>
    </rPh>
    <phoneticPr fontId="3"/>
  </si>
  <si>
    <t>旧区分</t>
    <rPh sb="0" eb="1">
      <t>キュウ</t>
    </rPh>
    <rPh sb="1" eb="3">
      <t>クブン</t>
    </rPh>
    <phoneticPr fontId="3"/>
  </si>
  <si>
    <t>知的障害</t>
    <rPh sb="0" eb="2">
      <t>チテキ</t>
    </rPh>
    <rPh sb="2" eb="4">
      <t>ショウガイ</t>
    </rPh>
    <phoneticPr fontId="3"/>
  </si>
  <si>
    <t>　１　　　　級</t>
  </si>
  <si>
    <t>　２　　　　級</t>
  </si>
  <si>
    <t>単位（千円）</t>
    <rPh sb="0" eb="2">
      <t>タンイ</t>
    </rPh>
    <rPh sb="3" eb="5">
      <t>センエン</t>
    </rPh>
    <phoneticPr fontId="3"/>
  </si>
  <si>
    <t>座  位</t>
  </si>
  <si>
    <t>盲  人</t>
  </si>
  <si>
    <t>電  動</t>
  </si>
  <si>
    <t>座位</t>
    <rPh sb="0" eb="2">
      <t>ザイ</t>
    </rPh>
    <phoneticPr fontId="3"/>
  </si>
  <si>
    <t>起立</t>
    <rPh sb="0" eb="2">
      <t>キリツ</t>
    </rPh>
    <phoneticPr fontId="3"/>
  </si>
  <si>
    <t>頭  部</t>
  </si>
  <si>
    <t>排便</t>
    <rPh sb="0" eb="2">
      <t>ハイベン</t>
    </rPh>
    <phoneticPr fontId="3"/>
  </si>
  <si>
    <t>歩  行</t>
  </si>
  <si>
    <t>重度障害</t>
    <rPh sb="0" eb="2">
      <t>ジュウド</t>
    </rPh>
    <rPh sb="2" eb="4">
      <t>ショウガイ</t>
    </rPh>
    <phoneticPr fontId="3"/>
  </si>
  <si>
    <t>義  手</t>
  </si>
  <si>
    <t>義  足</t>
  </si>
  <si>
    <t>装  具</t>
  </si>
  <si>
    <t>保  持</t>
  </si>
  <si>
    <t>安  全</t>
  </si>
  <si>
    <t>義  眼</t>
  </si>
  <si>
    <t>眼  鏡</t>
  </si>
  <si>
    <t>補聴器</t>
  </si>
  <si>
    <t>普通型</t>
  </si>
  <si>
    <t>その他</t>
  </si>
  <si>
    <t>保持</t>
    <rPh sb="0" eb="2">
      <t>ホジ</t>
    </rPh>
    <phoneticPr fontId="3"/>
  </si>
  <si>
    <t>歩行器</t>
  </si>
  <si>
    <t>補助</t>
    <rPh sb="0" eb="2">
      <t>ホジョ</t>
    </rPh>
    <phoneticPr fontId="3"/>
  </si>
  <si>
    <t>補  助</t>
  </si>
  <si>
    <t>者用意思</t>
    <rPh sb="0" eb="1">
      <t>シャ</t>
    </rPh>
    <rPh sb="1" eb="2">
      <t>ヨウ</t>
    </rPh>
    <rPh sb="2" eb="4">
      <t>イシ</t>
    </rPh>
    <phoneticPr fontId="3"/>
  </si>
  <si>
    <t>装  置</t>
  </si>
  <si>
    <t>つ  え</t>
  </si>
  <si>
    <t>車いす</t>
  </si>
  <si>
    <t>具</t>
    <rPh sb="0" eb="1">
      <t>グ</t>
    </rPh>
    <phoneticPr fontId="3"/>
  </si>
  <si>
    <t>保持具</t>
    <rPh sb="0" eb="2">
      <t>ホジ</t>
    </rPh>
    <rPh sb="2" eb="3">
      <t>グ</t>
    </rPh>
    <phoneticPr fontId="3"/>
  </si>
  <si>
    <t>伝達装置</t>
    <rPh sb="0" eb="2">
      <t>デンタツ</t>
    </rPh>
    <rPh sb="2" eb="4">
      <t>ソウチ</t>
    </rPh>
    <phoneticPr fontId="3"/>
  </si>
  <si>
    <t>総</t>
  </si>
  <si>
    <t>数</t>
  </si>
  <si>
    <t>交　付</t>
    <rPh sb="0" eb="1">
      <t>コウ</t>
    </rPh>
    <rPh sb="2" eb="3">
      <t>ヅケ</t>
    </rPh>
    <phoneticPr fontId="3"/>
  </si>
  <si>
    <t>件　　数</t>
    <rPh sb="0" eb="1">
      <t>ケン</t>
    </rPh>
    <rPh sb="3" eb="4">
      <t>カズ</t>
    </rPh>
    <phoneticPr fontId="3"/>
  </si>
  <si>
    <t>金　　額</t>
    <rPh sb="0" eb="1">
      <t>キン</t>
    </rPh>
    <rPh sb="3" eb="4">
      <t>ガク</t>
    </rPh>
    <phoneticPr fontId="3"/>
  </si>
  <si>
    <t>修　理</t>
    <rPh sb="0" eb="1">
      <t>オサム</t>
    </rPh>
    <rPh sb="2" eb="3">
      <t>リ</t>
    </rPh>
    <phoneticPr fontId="3"/>
  </si>
  <si>
    <t>-</t>
  </si>
  <si>
    <t>　　３）共同生活介護については、平成26年4月1日から共同生活援助に一元化。</t>
    <rPh sb="4" eb="6">
      <t>キョウドウ</t>
    </rPh>
    <rPh sb="6" eb="8">
      <t>セイカツ</t>
    </rPh>
    <rPh sb="8" eb="10">
      <t>カイゴ</t>
    </rPh>
    <rPh sb="16" eb="18">
      <t>ヘイセイ</t>
    </rPh>
    <rPh sb="20" eb="21">
      <t>ネン</t>
    </rPh>
    <rPh sb="22" eb="23">
      <t>ガツ</t>
    </rPh>
    <rPh sb="24" eb="25">
      <t>ニチ</t>
    </rPh>
    <rPh sb="27" eb="29">
      <t>キョウドウ</t>
    </rPh>
    <rPh sb="29" eb="31">
      <t>セイカツ</t>
    </rPh>
    <rPh sb="31" eb="33">
      <t>エンジョ</t>
    </rPh>
    <rPh sb="34" eb="37">
      <t>イチゲンカ</t>
    </rPh>
    <phoneticPr fontId="3"/>
  </si>
  <si>
    <t>平成26年度</t>
    <rPh sb="0" eb="2">
      <t>ヘイセイ</t>
    </rPh>
    <rPh sb="4" eb="6">
      <t>ネンド</t>
    </rPh>
    <phoneticPr fontId="3"/>
  </si>
  <si>
    <t>施 設 数</t>
    <phoneticPr fontId="3"/>
  </si>
  <si>
    <t>定     員</t>
    <phoneticPr fontId="3"/>
  </si>
  <si>
    <t>年       度</t>
    <phoneticPr fontId="3"/>
  </si>
  <si>
    <t>平成27年度</t>
    <rPh sb="0" eb="2">
      <t>ヘイセイ</t>
    </rPh>
    <rPh sb="4" eb="6">
      <t>ネンド</t>
    </rPh>
    <phoneticPr fontId="2"/>
  </si>
  <si>
    <t>注：１）入院食事療養費､審査支払手数料等は除く。</t>
    <phoneticPr fontId="2"/>
  </si>
  <si>
    <t>金額（千円）</t>
    <phoneticPr fontId="3"/>
  </si>
  <si>
    <t>-</t>
    <phoneticPr fontId="3"/>
  </si>
  <si>
    <t>平成27年度</t>
    <rPh sb="0" eb="2">
      <t>ヘイセイ</t>
    </rPh>
    <rPh sb="4" eb="6">
      <t>ネンド</t>
    </rPh>
    <phoneticPr fontId="3"/>
  </si>
  <si>
    <t>身 体 障 害</t>
    <phoneticPr fontId="3"/>
  </si>
  <si>
    <t>精 神 障 害</t>
    <phoneticPr fontId="3"/>
  </si>
  <si>
    <t>その他</t>
    <phoneticPr fontId="3"/>
  </si>
  <si>
    <t>平成28年度</t>
    <rPh sb="0" eb="2">
      <t>ヘイセイ</t>
    </rPh>
    <rPh sb="4" eb="6">
      <t>ネンド</t>
    </rPh>
    <phoneticPr fontId="2"/>
  </si>
  <si>
    <t>１件当たり</t>
    <phoneticPr fontId="3"/>
  </si>
  <si>
    <t>助  成  額</t>
    <phoneticPr fontId="3"/>
  </si>
  <si>
    <t>(3月31日)</t>
    <phoneticPr fontId="3"/>
  </si>
  <si>
    <t>（医療費，円）</t>
    <phoneticPr fontId="3"/>
  </si>
  <si>
    <t>（円）</t>
    <phoneticPr fontId="3"/>
  </si>
  <si>
    <t>車  い  す</t>
    <phoneticPr fontId="3"/>
  </si>
  <si>
    <t>平成29年度</t>
    <rPh sb="0" eb="2">
      <t>ヘイセイ</t>
    </rPh>
    <rPh sb="4" eb="6">
      <t>ネンド</t>
    </rPh>
    <phoneticPr fontId="2"/>
  </si>
  <si>
    <t>年</t>
    <rPh sb="0" eb="1">
      <t>ネン</t>
    </rPh>
    <phoneticPr fontId="2"/>
  </si>
  <si>
    <t>年      度</t>
    <phoneticPr fontId="3"/>
  </si>
  <si>
    <t>※547</t>
    <phoneticPr fontId="3"/>
  </si>
  <si>
    <t>※552</t>
    <phoneticPr fontId="3"/>
  </si>
  <si>
    <t>31  知的・身体障害者（児）の更生援護</t>
    <rPh sb="4" eb="6">
      <t>チテキ</t>
    </rPh>
    <rPh sb="7" eb="9">
      <t>シンタイ</t>
    </rPh>
    <rPh sb="9" eb="11">
      <t>ショウガイ</t>
    </rPh>
    <rPh sb="11" eb="12">
      <t>シャ</t>
    </rPh>
    <rPh sb="13" eb="14">
      <t>コ</t>
    </rPh>
    <rPh sb="16" eb="18">
      <t>コウセイ</t>
    </rPh>
    <rPh sb="18" eb="20">
      <t>エンゴ</t>
    </rPh>
    <phoneticPr fontId="2"/>
  </si>
  <si>
    <t>31-1　障害福祉サービス事業所等の状況（種類別）</t>
    <rPh sb="5" eb="7">
      <t>ショウガイ</t>
    </rPh>
    <rPh sb="7" eb="9">
      <t>フクシ</t>
    </rPh>
    <rPh sb="13" eb="16">
      <t>ジギョウショ</t>
    </rPh>
    <rPh sb="16" eb="17">
      <t>トウ</t>
    </rPh>
    <rPh sb="18" eb="20">
      <t>ジョウキョウ</t>
    </rPh>
    <rPh sb="21" eb="24">
      <t>シュルイベツ</t>
    </rPh>
    <phoneticPr fontId="3"/>
  </si>
  <si>
    <t>※554</t>
    <phoneticPr fontId="3"/>
  </si>
  <si>
    <t>注：２）平成24年4月1日以降は全て障害者総合支援法によるサービス体系に移行。</t>
    <rPh sb="0" eb="1">
      <t>チュウ</t>
    </rPh>
    <rPh sb="4" eb="6">
      <t>ヘイセイ</t>
    </rPh>
    <rPh sb="8" eb="9">
      <t>ネン</t>
    </rPh>
    <rPh sb="10" eb="11">
      <t>ガツ</t>
    </rPh>
    <rPh sb="12" eb="13">
      <t>ニチ</t>
    </rPh>
    <rPh sb="13" eb="15">
      <t>イコウ</t>
    </rPh>
    <rPh sb="16" eb="17">
      <t>スベ</t>
    </rPh>
    <rPh sb="18" eb="21">
      <t>ショウガイシャ</t>
    </rPh>
    <rPh sb="21" eb="23">
      <t>ソウゴウ</t>
    </rPh>
    <rPh sb="23" eb="25">
      <t>シエン</t>
    </rPh>
    <rPh sb="25" eb="26">
      <t>ホウ</t>
    </rPh>
    <rPh sb="33" eb="35">
      <t>タイケイ</t>
    </rPh>
    <rPh sb="36" eb="38">
      <t>イコウ</t>
    </rPh>
    <phoneticPr fontId="2"/>
  </si>
  <si>
    <t>31-2　障害児入所施設等の状況（種類別）</t>
    <rPh sb="5" eb="8">
      <t>ショウガイジ</t>
    </rPh>
    <rPh sb="8" eb="10">
      <t>ニュウショ</t>
    </rPh>
    <rPh sb="10" eb="12">
      <t>シセツ</t>
    </rPh>
    <rPh sb="12" eb="13">
      <t>トウ</t>
    </rPh>
    <rPh sb="14" eb="16">
      <t>ジョウキョウ</t>
    </rPh>
    <rPh sb="17" eb="20">
      <t>シュルイベツ</t>
    </rPh>
    <phoneticPr fontId="3"/>
  </si>
  <si>
    <t>注：１）指定発達支援医療機関(旧国立療養所)及び定員のない施設は除く。</t>
    <rPh sb="4" eb="6">
      <t>シテイ</t>
    </rPh>
    <rPh sb="6" eb="8">
      <t>ハッタツ</t>
    </rPh>
    <rPh sb="8" eb="10">
      <t>シエン</t>
    </rPh>
    <rPh sb="10" eb="12">
      <t>イリョウ</t>
    </rPh>
    <rPh sb="12" eb="14">
      <t>キカン</t>
    </rPh>
    <rPh sb="15" eb="16">
      <t>キュウ</t>
    </rPh>
    <phoneticPr fontId="2"/>
  </si>
  <si>
    <t>31-3  重度心身障害者医療費助成状況</t>
    <phoneticPr fontId="3"/>
  </si>
  <si>
    <t>平成30年度</t>
    <rPh sb="0" eb="2">
      <t>ヘイセイ</t>
    </rPh>
    <rPh sb="4" eb="6">
      <t>ネンド</t>
    </rPh>
    <phoneticPr fontId="2"/>
  </si>
  <si>
    <t>31-4  身体障害者の自立支援医療費（更生医療）支給決定状況、障害別</t>
    <rPh sb="12" eb="14">
      <t>ジリツ</t>
    </rPh>
    <rPh sb="14" eb="16">
      <t>シエン</t>
    </rPh>
    <rPh sb="16" eb="18">
      <t>イリョウ</t>
    </rPh>
    <rPh sb="18" eb="19">
      <t>ヒ</t>
    </rPh>
    <rPh sb="20" eb="22">
      <t>コウセイ</t>
    </rPh>
    <rPh sb="22" eb="24">
      <t>イリョウ</t>
    </rPh>
    <rPh sb="25" eb="27">
      <t>シキュウ</t>
    </rPh>
    <rPh sb="27" eb="29">
      <t>ケッテイ</t>
    </rPh>
    <phoneticPr fontId="3"/>
  </si>
  <si>
    <t>心    臓</t>
    <phoneticPr fontId="3"/>
  </si>
  <si>
    <t>じ ん 臓</t>
    <phoneticPr fontId="3"/>
  </si>
  <si>
    <t>総    数</t>
    <phoneticPr fontId="3"/>
  </si>
  <si>
    <t>視覚障害</t>
    <phoneticPr fontId="3"/>
  </si>
  <si>
    <t>機能障害</t>
    <phoneticPr fontId="3"/>
  </si>
  <si>
    <t>31-5　特別障害者手当等受給状況、年度別</t>
    <rPh sb="12" eb="13">
      <t>トウ</t>
    </rPh>
    <rPh sb="13" eb="15">
      <t>ジュキュウ</t>
    </rPh>
    <rPh sb="15" eb="17">
      <t>ジョウキョウ</t>
    </rPh>
    <rPh sb="18" eb="21">
      <t>ネンドベツ</t>
    </rPh>
    <phoneticPr fontId="3"/>
  </si>
  <si>
    <t>（　3,566 ）</t>
    <phoneticPr fontId="3"/>
  </si>
  <si>
    <t>（　1,015 ）</t>
    <phoneticPr fontId="3"/>
  </si>
  <si>
    <t>（　　38 ）</t>
    <phoneticPr fontId="3"/>
  </si>
  <si>
    <t>平成30年度</t>
    <rPh sb="0" eb="2">
      <t>ヘイセイ</t>
    </rPh>
    <rPh sb="4" eb="6">
      <t>ネンド</t>
    </rPh>
    <phoneticPr fontId="3"/>
  </si>
  <si>
    <t>各年度３月３１日現在</t>
    <phoneticPr fontId="3"/>
  </si>
  <si>
    <t>31-6　特別児童扶養手当受給状況、世帯・年度別</t>
    <phoneticPr fontId="3"/>
  </si>
  <si>
    <t>31-7　身体障害者・児の補装具費支給決定状況、補装具種類別</t>
    <phoneticPr fontId="3"/>
  </si>
  <si>
    <t>義     肢</t>
    <phoneticPr fontId="3"/>
  </si>
  <si>
    <t>いす</t>
    <phoneticPr fontId="3"/>
  </si>
  <si>
    <t>件　　数</t>
    <phoneticPr fontId="3"/>
  </si>
  <si>
    <t>金　　額</t>
    <phoneticPr fontId="3"/>
  </si>
  <si>
    <t>借受け</t>
    <rPh sb="0" eb="1">
      <t>カ</t>
    </rPh>
    <rPh sb="1" eb="2">
      <t>ウ</t>
    </rPh>
    <phoneticPr fontId="3"/>
  </si>
  <si>
    <t>31-1</t>
    <phoneticPr fontId="2"/>
  </si>
  <si>
    <t>31-2</t>
    <phoneticPr fontId="2"/>
  </si>
  <si>
    <t>31-3</t>
    <phoneticPr fontId="2"/>
  </si>
  <si>
    <t>31-4</t>
    <phoneticPr fontId="2"/>
  </si>
  <si>
    <t>31-5</t>
    <phoneticPr fontId="2"/>
  </si>
  <si>
    <t>31-6</t>
    <phoneticPr fontId="2"/>
  </si>
  <si>
    <t>31-7</t>
    <phoneticPr fontId="2"/>
  </si>
  <si>
    <t>３１　知的・身体障害者（児）の更生援護</t>
    <rPh sb="3" eb="5">
      <t>チテキ</t>
    </rPh>
    <rPh sb="6" eb="8">
      <t>シンタイ</t>
    </rPh>
    <rPh sb="8" eb="11">
      <t>ショウガイシャ</t>
    </rPh>
    <rPh sb="12" eb="13">
      <t>ジ</t>
    </rPh>
    <rPh sb="15" eb="17">
      <t>コウセイ</t>
    </rPh>
    <rPh sb="17" eb="19">
      <t>エンゴ</t>
    </rPh>
    <phoneticPr fontId="8"/>
  </si>
  <si>
    <t>元</t>
    <rPh sb="0" eb="1">
      <t>モト</t>
    </rPh>
    <phoneticPr fontId="3"/>
  </si>
  <si>
    <t>※557</t>
    <phoneticPr fontId="3"/>
  </si>
  <si>
    <t>令和元年度</t>
    <rPh sb="0" eb="2">
      <t>レイワ</t>
    </rPh>
    <rPh sb="2" eb="3">
      <t>ガン</t>
    </rPh>
    <rPh sb="3" eb="5">
      <t>ネンド</t>
    </rPh>
    <phoneticPr fontId="2"/>
  </si>
  <si>
    <t>令和</t>
    <rPh sb="0" eb="2">
      <t>レイワ</t>
    </rPh>
    <phoneticPr fontId="3"/>
  </si>
  <si>
    <t>（　3,362 ）</t>
    <phoneticPr fontId="3"/>
  </si>
  <si>
    <t>（　1,028 ）</t>
    <phoneticPr fontId="3"/>
  </si>
  <si>
    <t>（　　35 ）</t>
    <phoneticPr fontId="3"/>
  </si>
  <si>
    <t>令和元年度</t>
    <rPh sb="0" eb="2">
      <t>レイワ</t>
    </rPh>
    <rPh sb="2" eb="5">
      <t>ガンネンド</t>
    </rPh>
    <phoneticPr fontId="3"/>
  </si>
  <si>
    <t>元</t>
    <rPh sb="0" eb="1">
      <t>ガン</t>
    </rPh>
    <phoneticPr fontId="3"/>
  </si>
  <si>
    <t>＊端数処理の関係で計算結果と一致しない場合がある。</t>
    <rPh sb="1" eb="3">
      <t>ハスウ</t>
    </rPh>
    <rPh sb="3" eb="5">
      <t>ショリ</t>
    </rPh>
    <rPh sb="6" eb="8">
      <t>カンケイ</t>
    </rPh>
    <rPh sb="9" eb="11">
      <t>ケイサン</t>
    </rPh>
    <rPh sb="11" eb="13">
      <t>ケッカ</t>
    </rPh>
    <rPh sb="14" eb="16">
      <t>イッチ</t>
    </rPh>
    <rPh sb="19" eb="21">
      <t>バアイ</t>
    </rPh>
    <phoneticPr fontId="3"/>
  </si>
  <si>
    <t>令和２年度</t>
    <rPh sb="0" eb="2">
      <t>レイワ</t>
    </rPh>
    <rPh sb="3" eb="5">
      <t>ネンド</t>
    </rPh>
    <phoneticPr fontId="2"/>
  </si>
  <si>
    <t>※562</t>
    <phoneticPr fontId="3"/>
  </si>
  <si>
    <t>令和３年度</t>
    <rPh sb="0" eb="2">
      <t>レイワ</t>
    </rPh>
    <rPh sb="3" eb="5">
      <t>ネンド</t>
    </rPh>
    <phoneticPr fontId="2"/>
  </si>
  <si>
    <t>（　3,287 ）</t>
    <phoneticPr fontId="3"/>
  </si>
  <si>
    <t>（　1,051 ）</t>
    <phoneticPr fontId="3"/>
  </si>
  <si>
    <t>令和３年度</t>
    <rPh sb="0" eb="2">
      <t>レイワ</t>
    </rPh>
    <rPh sb="3" eb="5">
      <t>ネンド</t>
    </rPh>
    <phoneticPr fontId="3"/>
  </si>
  <si>
    <t>※567</t>
    <phoneticPr fontId="3"/>
  </si>
  <si>
    <t>元</t>
    <rPh sb="0" eb="1">
      <t>ガン</t>
    </rPh>
    <phoneticPr fontId="2"/>
  </si>
  <si>
    <t>令和４年度</t>
    <rPh sb="0" eb="2">
      <t>レイワ</t>
    </rPh>
    <rPh sb="3" eb="5">
      <t>ネンド</t>
    </rPh>
    <phoneticPr fontId="2"/>
  </si>
  <si>
    <t>（　3,164 ）</t>
    <phoneticPr fontId="2"/>
  </si>
  <si>
    <t>（　  983 ）</t>
    <phoneticPr fontId="2"/>
  </si>
  <si>
    <t>（　　28 ）</t>
    <phoneticPr fontId="2"/>
  </si>
  <si>
    <t>（　3,054 ）</t>
    <phoneticPr fontId="3"/>
  </si>
  <si>
    <t>（　  981 ）</t>
    <phoneticPr fontId="3"/>
  </si>
  <si>
    <t>（　　27 ）</t>
    <phoneticPr fontId="3"/>
  </si>
  <si>
    <t>令和４年度</t>
    <rPh sb="0" eb="2">
      <t>レイワ</t>
    </rPh>
    <rPh sb="3" eb="5">
      <t>ネンド</t>
    </rPh>
    <phoneticPr fontId="3"/>
  </si>
  <si>
    <t>32-6　特別児童扶養手当受給状況、世帯・年度別</t>
    <phoneticPr fontId="3"/>
  </si>
  <si>
    <t>※567</t>
    <phoneticPr fontId="2"/>
  </si>
  <si>
    <t>令和５年度</t>
    <rPh sb="0" eb="2">
      <t>レイワ</t>
    </rPh>
    <rPh sb="3" eb="5">
      <t>ネンド</t>
    </rPh>
    <phoneticPr fontId="2"/>
  </si>
  <si>
    <t>（　2,954 ）</t>
    <phoneticPr fontId="3"/>
  </si>
  <si>
    <t>（　  976 ）</t>
    <phoneticPr fontId="3"/>
  </si>
  <si>
    <t>（　　21 ）</t>
    <phoneticPr fontId="3"/>
  </si>
  <si>
    <t>令和５年度</t>
    <rPh sb="0" eb="2">
      <t>レイワ</t>
    </rPh>
    <rPh sb="3" eb="5">
      <t>ネンド</t>
    </rPh>
    <phoneticPr fontId="3"/>
  </si>
  <si>
    <t>注：２）上段(　　）書きは、年度末現在の実人員数</t>
    <rPh sb="0" eb="1">
      <t>チュウ</t>
    </rPh>
    <rPh sb="4" eb="6">
      <t>ジョウダン</t>
    </rPh>
    <rPh sb="10" eb="11">
      <t>カ</t>
    </rPh>
    <rPh sb="14" eb="17">
      <t>ネンドマツ</t>
    </rPh>
    <rPh sb="17" eb="19">
      <t>ゲンザイ</t>
    </rPh>
    <rPh sb="20" eb="23">
      <t>ジツジンイン</t>
    </rPh>
    <rPh sb="23" eb="24">
      <t>スウ</t>
    </rPh>
    <phoneticPr fontId="3"/>
  </si>
  <si>
    <t>※567</t>
  </si>
  <si>
    <t>※535</t>
    <phoneticPr fontId="2"/>
  </si>
  <si>
    <t>※539</t>
    <phoneticPr fontId="2"/>
  </si>
  <si>
    <t>※543</t>
    <phoneticPr fontId="3"/>
  </si>
  <si>
    <t>注：２）医療型児童発達支援センターについては、令和６年４月１日から児童発達支援センターに一元化。</t>
    <rPh sb="4" eb="7">
      <t>イリョウガタ</t>
    </rPh>
    <rPh sb="7" eb="13">
      <t>ジドウハッタツシエン</t>
    </rPh>
    <rPh sb="33" eb="39">
      <t>ジドウハッタツシエン</t>
    </rPh>
    <rPh sb="44" eb="47">
      <t>イチゲンカ</t>
    </rPh>
    <phoneticPr fontId="2"/>
  </si>
  <si>
    <t>注：２）平成２２年度から政令市への助成を廃止した。</t>
    <rPh sb="0" eb="1">
      <t>チュウ</t>
    </rPh>
    <rPh sb="4" eb="6">
      <t>ヘイセイ</t>
    </rPh>
    <rPh sb="8" eb="10">
      <t>ネンド</t>
    </rPh>
    <rPh sb="12" eb="15">
      <t>セイレイシ</t>
    </rPh>
    <rPh sb="17" eb="19">
      <t>ジョセイ</t>
    </rPh>
    <rPh sb="20" eb="22">
      <t>ハイシ</t>
    </rPh>
    <phoneticPr fontId="3"/>
  </si>
  <si>
    <t>令和６年度</t>
    <rPh sb="0" eb="2">
      <t>レイワ</t>
    </rPh>
    <rPh sb="3" eb="5">
      <t>ネンド</t>
    </rPh>
    <phoneticPr fontId="2"/>
  </si>
  <si>
    <t>注：２）※定員のうち432名は、医療型障害児入所施設・指定発達支援医療機関との共通定員。</t>
    <rPh sb="0" eb="1">
      <t>チュウ</t>
    </rPh>
    <rPh sb="5" eb="7">
      <t>テイイン</t>
    </rPh>
    <rPh sb="13" eb="14">
      <t>メイ</t>
    </rPh>
    <rPh sb="16" eb="18">
      <t>イリョウ</t>
    </rPh>
    <rPh sb="18" eb="19">
      <t>ガタ</t>
    </rPh>
    <rPh sb="19" eb="22">
      <t>ショウガイジ</t>
    </rPh>
    <rPh sb="22" eb="24">
      <t>ニュウショ</t>
    </rPh>
    <rPh sb="24" eb="26">
      <t>シセツ</t>
    </rPh>
    <rPh sb="27" eb="29">
      <t>シテイ</t>
    </rPh>
    <rPh sb="29" eb="31">
      <t>ハッタツ</t>
    </rPh>
    <rPh sb="31" eb="33">
      <t>シエン</t>
    </rPh>
    <rPh sb="33" eb="35">
      <t>イリョウ</t>
    </rPh>
    <rPh sb="35" eb="37">
      <t>キカン</t>
    </rPh>
    <rPh sb="39" eb="41">
      <t>キョウツウ</t>
    </rPh>
    <rPh sb="41" eb="43">
      <t>テイイン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</si>
</sst>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;\-#,##0;\-"/>
    <numFmt numFmtId="177" formatCode="#,##0;\-#,##0;\-;\･"/>
    <numFmt numFmtId="178" formatCode="#,##0_ "/>
    <numFmt numFmtId="179" formatCode="#,##0;\l\-#,##0;\-"/>
  </numFmts>
  <fonts count="21">
    <font>
      <sz val="13.5"/>
      <name val="FixedSys"/>
      <charset val="128"/>
    </font>
    <font>
      <sz val="6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ＤＨＰ平成ゴシックW5"/>
      <family val="3"/>
      <charset val="128"/>
    </font>
    <font>
      <b/>
      <sz val="12"/>
      <name val="ＭＳ 明朝"/>
      <family val="1"/>
      <charset val="128"/>
    </font>
    <font>
      <sz val="5"/>
      <name val="ＭＳ 明朝"/>
      <family val="1"/>
      <charset val="128"/>
    </font>
    <font>
      <sz val="6"/>
      <name val="FixedSys"/>
      <charset val="128"/>
    </font>
    <font>
      <sz val="22"/>
      <name val="ＭＳ 明朝"/>
      <family val="1"/>
      <charset val="128"/>
    </font>
    <font>
      <b/>
      <sz val="22"/>
      <name val="ＭＳ 明朝"/>
      <family val="1"/>
      <charset val="128"/>
    </font>
    <font>
      <sz val="8"/>
      <name val="ＭＳ 明朝"/>
      <family val="1"/>
      <charset val="128"/>
    </font>
    <font>
      <i/>
      <sz val="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38" fontId="9" fillId="0" borderId="0" applyFont="0" applyFill="0" applyBorder="0" applyAlignment="0" applyProtection="0"/>
  </cellStyleXfs>
  <cellXfs count="244">
    <xf numFmtId="0" fontId="0" fillId="0" borderId="0" xfId="0"/>
    <xf numFmtId="0" fontId="1" fillId="0" borderId="0" xfId="0" applyFont="1" applyProtection="1">
      <protection locked="0"/>
    </xf>
    <xf numFmtId="176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6" fillId="0" borderId="0" xfId="1" applyFont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left" vertical="center" shrinkToFit="1"/>
    </xf>
    <xf numFmtId="0" fontId="10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7" fillId="0" borderId="0" xfId="1" applyFont="1">
      <alignment vertical="center"/>
    </xf>
    <xf numFmtId="0" fontId="7" fillId="0" borderId="0" xfId="1" applyFont="1" applyAlignment="1">
      <alignment vertical="top"/>
    </xf>
    <xf numFmtId="49" fontId="7" fillId="0" borderId="0" xfId="1" applyNumberFormat="1" applyFont="1" applyAlignment="1">
      <alignment vertical="top"/>
    </xf>
    <xf numFmtId="0" fontId="7" fillId="0" borderId="0" xfId="1" applyFont="1" applyAlignment="1">
      <alignment vertical="top" wrapText="1"/>
    </xf>
    <xf numFmtId="0" fontId="9" fillId="0" borderId="0" xfId="1" applyFont="1">
      <alignment vertical="center"/>
    </xf>
    <xf numFmtId="0" fontId="11" fillId="0" borderId="0" xfId="1" applyFont="1" applyAlignment="1">
      <alignment vertical="top" shrinkToFit="1"/>
    </xf>
    <xf numFmtId="0" fontId="12" fillId="0" borderId="0" xfId="1" applyFont="1">
      <alignment vertical="center"/>
    </xf>
    <xf numFmtId="0" fontId="7" fillId="0" borderId="0" xfId="1" applyFont="1" applyAlignment="1">
      <alignment vertical="top" shrinkToFit="1"/>
    </xf>
    <xf numFmtId="41" fontId="13" fillId="0" borderId="0" xfId="0" applyNumberFormat="1" applyFont="1" applyAlignment="1">
      <alignment shrinkToFit="1"/>
    </xf>
    <xf numFmtId="179" fontId="1" fillId="0" borderId="4" xfId="0" applyNumberFormat="1" applyFont="1" applyBorder="1" applyAlignment="1" applyProtection="1">
      <alignment horizontal="right"/>
      <protection locked="0"/>
    </xf>
    <xf numFmtId="0" fontId="14" fillId="0" borderId="0" xfId="0" applyFont="1" applyProtection="1">
      <protection locked="0"/>
    </xf>
    <xf numFmtId="0" fontId="1" fillId="0" borderId="8" xfId="0" applyFont="1" applyBorder="1" applyProtection="1">
      <protection locked="0"/>
    </xf>
    <xf numFmtId="176" fontId="1" fillId="0" borderId="8" xfId="0" applyNumberFormat="1" applyFont="1" applyBorder="1" applyAlignment="1" applyProtection="1">
      <alignment horizontal="right"/>
      <protection locked="0"/>
    </xf>
    <xf numFmtId="49" fontId="1" fillId="0" borderId="7" xfId="0" applyNumberFormat="1" applyFont="1" applyBorder="1" applyProtection="1">
      <protection locked="0"/>
    </xf>
    <xf numFmtId="176" fontId="1" fillId="0" borderId="7" xfId="0" applyNumberFormat="1" applyFont="1" applyBorder="1" applyAlignment="1" applyProtection="1">
      <alignment horizontal="right"/>
      <protection locked="0"/>
    </xf>
    <xf numFmtId="49" fontId="1" fillId="0" borderId="7" xfId="0" applyNumberFormat="1" applyFont="1" applyBorder="1" applyAlignment="1" applyProtection="1">
      <alignment horizontal="right"/>
      <protection locked="0"/>
    </xf>
    <xf numFmtId="0" fontId="4" fillId="3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Protection="1">
      <protection locked="0"/>
    </xf>
    <xf numFmtId="176" fontId="1" fillId="3" borderId="4" xfId="0" applyNumberFormat="1" applyFont="1" applyFill="1" applyBorder="1" applyProtection="1">
      <protection locked="0"/>
    </xf>
    <xf numFmtId="0" fontId="16" fillId="0" borderId="0" xfId="0" applyFont="1"/>
    <xf numFmtId="176" fontId="16" fillId="0" borderId="0" xfId="0" applyNumberFormat="1" applyFont="1"/>
    <xf numFmtId="0" fontId="17" fillId="0" borderId="0" xfId="0" applyFont="1" applyProtection="1">
      <protection locked="0"/>
    </xf>
    <xf numFmtId="0" fontId="1" fillId="0" borderId="4" xfId="0" applyFont="1" applyBorder="1" applyProtection="1">
      <protection locked="0"/>
    </xf>
    <xf numFmtId="0" fontId="1" fillId="0" borderId="7" xfId="0" applyFont="1" applyBorder="1" applyAlignment="1" applyProtection="1">
      <alignment horizontal="distributed" vertical="center"/>
      <protection locked="0"/>
    </xf>
    <xf numFmtId="179" fontId="1" fillId="0" borderId="4" xfId="0" applyNumberFormat="1" applyFont="1" applyBorder="1" applyProtection="1">
      <protection locked="0"/>
    </xf>
    <xf numFmtId="179" fontId="1" fillId="0" borderId="8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5" xfId="0" applyFont="1" applyBorder="1" applyAlignment="1" applyProtection="1">
      <alignment horizontal="distributed" vertical="center"/>
      <protection locked="0"/>
    </xf>
    <xf numFmtId="179" fontId="1" fillId="0" borderId="1" xfId="0" applyNumberFormat="1" applyFont="1" applyBorder="1" applyAlignment="1" applyProtection="1">
      <alignment horizontal="right"/>
      <protection locked="0"/>
    </xf>
    <xf numFmtId="179" fontId="1" fillId="0" borderId="1" xfId="0" applyNumberFormat="1" applyFont="1" applyBorder="1" applyProtection="1">
      <protection locked="0"/>
    </xf>
    <xf numFmtId="179" fontId="1" fillId="0" borderId="2" xfId="0" applyNumberFormat="1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9" xfId="0" applyFont="1" applyBorder="1" applyAlignment="1" applyProtection="1">
      <alignment horizontal="distributed" vertical="center"/>
      <protection locked="0"/>
    </xf>
    <xf numFmtId="179" fontId="1" fillId="0" borderId="6" xfId="0" applyNumberFormat="1" applyFont="1" applyBorder="1" applyProtection="1">
      <protection locked="0"/>
    </xf>
    <xf numFmtId="179" fontId="1" fillId="0" borderId="6" xfId="0" applyNumberFormat="1" applyFont="1" applyBorder="1" applyAlignment="1" applyProtection="1">
      <alignment horizontal="right"/>
      <protection locked="0"/>
    </xf>
    <xf numFmtId="179" fontId="1" fillId="0" borderId="11" xfId="0" applyNumberFormat="1" applyFont="1" applyBorder="1" applyProtection="1">
      <protection locked="0"/>
    </xf>
    <xf numFmtId="179" fontId="1" fillId="0" borderId="11" xfId="0" applyNumberFormat="1" applyFont="1" applyBorder="1" applyAlignment="1" applyProtection="1">
      <alignment horizontal="right"/>
      <protection locked="0"/>
    </xf>
    <xf numFmtId="179" fontId="1" fillId="0" borderId="3" xfId="0" applyNumberFormat="1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center" shrinkToFit="1"/>
      <protection locked="0"/>
    </xf>
    <xf numFmtId="0" fontId="1" fillId="0" borderId="5" xfId="0" applyFont="1" applyBorder="1" applyAlignment="1" applyProtection="1">
      <alignment horizontal="center" shrinkToFit="1"/>
      <protection locked="0"/>
    </xf>
    <xf numFmtId="0" fontId="1" fillId="0" borderId="4" xfId="0" applyFont="1" applyBorder="1" applyAlignment="1" applyProtection="1">
      <alignment horizontal="center" shrinkToFit="1"/>
      <protection locked="0"/>
    </xf>
    <xf numFmtId="0" fontId="1" fillId="0" borderId="8" xfId="0" applyFont="1" applyBorder="1" applyAlignment="1" applyProtection="1">
      <alignment horizontal="center" shrinkToFit="1"/>
      <protection locked="0"/>
    </xf>
    <xf numFmtId="0" fontId="1" fillId="0" borderId="1" xfId="0" applyFont="1" applyBorder="1" applyAlignment="1" applyProtection="1">
      <alignment horizontal="center" shrinkToFit="1"/>
      <protection locked="0"/>
    </xf>
    <xf numFmtId="0" fontId="1" fillId="0" borderId="2" xfId="0" applyFont="1" applyBorder="1" applyAlignment="1" applyProtection="1">
      <alignment horizontal="center" shrinkToFit="1"/>
      <protection locked="0"/>
    </xf>
    <xf numFmtId="176" fontId="1" fillId="4" borderId="4" xfId="0" applyNumberFormat="1" applyFont="1" applyFill="1" applyBorder="1" applyAlignment="1" applyProtection="1">
      <alignment horizontal="right"/>
      <protection locked="0"/>
    </xf>
    <xf numFmtId="176" fontId="1" fillId="4" borderId="5" xfId="0" applyNumberFormat="1" applyFont="1" applyFill="1" applyBorder="1" applyAlignment="1" applyProtection="1">
      <alignment horizontal="right"/>
      <protection locked="0"/>
    </xf>
    <xf numFmtId="176" fontId="1" fillId="4" borderId="1" xfId="0" applyNumberFormat="1" applyFont="1" applyFill="1" applyBorder="1" applyAlignment="1" applyProtection="1">
      <alignment horizontal="right"/>
      <protection locked="0"/>
    </xf>
    <xf numFmtId="176" fontId="1" fillId="4" borderId="8" xfId="0" applyNumberFormat="1" applyFont="1" applyFill="1" applyBorder="1" applyAlignment="1" applyProtection="1">
      <alignment horizontal="right"/>
      <protection locked="0"/>
    </xf>
    <xf numFmtId="176" fontId="1" fillId="4" borderId="3" xfId="0" applyNumberFormat="1" applyFont="1" applyFill="1" applyBorder="1" applyAlignment="1" applyProtection="1">
      <alignment horizontal="right"/>
      <protection locked="0"/>
    </xf>
    <xf numFmtId="176" fontId="1" fillId="4" borderId="2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distributed" vertical="center" justifyLastLine="1"/>
      <protection locked="0"/>
    </xf>
    <xf numFmtId="176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center" vertical="justify"/>
      <protection locked="0"/>
    </xf>
    <xf numFmtId="176" fontId="1" fillId="0" borderId="3" xfId="0" applyNumberFormat="1" applyFont="1" applyBorder="1" applyProtection="1">
      <protection locked="0"/>
    </xf>
    <xf numFmtId="0" fontId="1" fillId="0" borderId="3" xfId="0" applyFont="1" applyBorder="1" applyAlignment="1" applyProtection="1">
      <alignment horizontal="center" vertical="justify"/>
      <protection locked="0"/>
    </xf>
    <xf numFmtId="176" fontId="1" fillId="3" borderId="4" xfId="0" applyNumberFormat="1" applyFont="1" applyFill="1" applyBorder="1" applyAlignment="1" applyProtection="1">
      <alignment horizontal="right"/>
      <protection locked="0"/>
    </xf>
    <xf numFmtId="176" fontId="1" fillId="0" borderId="3" xfId="0" applyNumberFormat="1" applyFont="1" applyBorder="1" applyAlignment="1" applyProtection="1">
      <alignment horizontal="right"/>
      <protection locked="0"/>
    </xf>
    <xf numFmtId="177" fontId="1" fillId="0" borderId="3" xfId="0" applyNumberFormat="1" applyFont="1" applyBorder="1" applyAlignment="1" applyProtection="1">
      <alignment horizontal="right"/>
      <protection locked="0"/>
    </xf>
    <xf numFmtId="176" fontId="1" fillId="0" borderId="1" xfId="0" applyNumberFormat="1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176" fontId="1" fillId="0" borderId="4" xfId="0" applyNumberFormat="1" applyFont="1" applyBorder="1" applyProtection="1">
      <protection locked="0"/>
    </xf>
    <xf numFmtId="20" fontId="1" fillId="0" borderId="0" xfId="0" applyNumberFormat="1" applyFont="1" applyProtection="1">
      <protection locked="0"/>
    </xf>
    <xf numFmtId="38" fontId="1" fillId="0" borderId="0" xfId="2" applyFont="1" applyFill="1" applyProtection="1">
      <protection locked="0"/>
    </xf>
    <xf numFmtId="38" fontId="1" fillId="0" borderId="3" xfId="2" applyFont="1" applyFill="1" applyBorder="1" applyProtection="1">
      <protection locked="0"/>
    </xf>
    <xf numFmtId="176" fontId="1" fillId="0" borderId="0" xfId="0" applyNumberFormat="1" applyFont="1" applyAlignment="1" applyProtection="1">
      <alignment horizontal="right"/>
      <protection locked="0"/>
    </xf>
    <xf numFmtId="176" fontId="1" fillId="0" borderId="3" xfId="0" applyNumberFormat="1" applyFont="1" applyBorder="1" applyAlignment="1" applyProtection="1">
      <alignment horizontal="center" vertical="center"/>
      <protection locked="0"/>
    </xf>
    <xf numFmtId="176" fontId="1" fillId="0" borderId="5" xfId="0" applyNumberFormat="1" applyFont="1" applyBorder="1" applyAlignment="1" applyProtection="1">
      <alignment horizontal="center" vertical="center"/>
      <protection locked="0"/>
    </xf>
    <xf numFmtId="176" fontId="1" fillId="0" borderId="4" xfId="0" applyNumberFormat="1" applyFont="1" applyBorder="1" applyAlignment="1" applyProtection="1">
      <alignment horizontal="center" vertical="center"/>
      <protection locked="0"/>
    </xf>
    <xf numFmtId="176" fontId="1" fillId="0" borderId="8" xfId="0" applyNumberFormat="1" applyFont="1" applyBorder="1" applyAlignment="1" applyProtection="1">
      <alignment horizontal="center" vertical="center"/>
      <protection locked="0"/>
    </xf>
    <xf numFmtId="176" fontId="1" fillId="0" borderId="1" xfId="0" applyNumberFormat="1" applyFont="1" applyBorder="1" applyAlignment="1" applyProtection="1">
      <alignment horizontal="center" vertical="center"/>
      <protection locked="0"/>
    </xf>
    <xf numFmtId="176" fontId="1" fillId="0" borderId="2" xfId="0" applyNumberFormat="1" applyFont="1" applyBorder="1" applyAlignment="1" applyProtection="1">
      <alignment horizontal="center" vertical="center"/>
      <protection locked="0"/>
    </xf>
    <xf numFmtId="176" fontId="1" fillId="0" borderId="4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76" fontId="1" fillId="0" borderId="5" xfId="0" applyNumberFormat="1" applyFont="1" applyBorder="1" applyAlignment="1" applyProtection="1">
      <alignment horizontal="right"/>
      <protection locked="0"/>
    </xf>
    <xf numFmtId="0" fontId="15" fillId="0" borderId="3" xfId="0" applyFont="1" applyBorder="1" applyAlignment="1" applyProtection="1">
      <alignment horizontal="distributed" vertical="center" justifyLastLine="1"/>
      <protection locked="0"/>
    </xf>
    <xf numFmtId="0" fontId="15" fillId="0" borderId="15" xfId="0" applyFont="1" applyBorder="1" applyAlignment="1" applyProtection="1">
      <alignment horizontal="distributed" vertical="center" justifyLastLine="1"/>
      <protection locked="0"/>
    </xf>
    <xf numFmtId="176" fontId="1" fillId="0" borderId="2" xfId="0" applyNumberFormat="1" applyFont="1" applyBorder="1" applyAlignment="1" applyProtection="1">
      <alignment horizontal="right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5" fillId="4" borderId="3" xfId="0" applyFont="1" applyFill="1" applyBorder="1" applyAlignment="1" applyProtection="1">
      <alignment horizontal="distributed" vertical="center" justifyLastLine="1"/>
      <protection locked="0"/>
    </xf>
    <xf numFmtId="0" fontId="15" fillId="4" borderId="15" xfId="0" applyFont="1" applyFill="1" applyBorder="1" applyAlignment="1" applyProtection="1">
      <alignment horizontal="distributed" vertical="center" justifyLastLine="1"/>
      <protection locked="0"/>
    </xf>
    <xf numFmtId="0" fontId="15" fillId="0" borderId="1" xfId="0" applyFont="1" applyBorder="1" applyAlignment="1" applyProtection="1">
      <alignment horizontal="distributed" vertical="center" justifyLastLine="1"/>
      <protection locked="0"/>
    </xf>
    <xf numFmtId="0" fontId="1" fillId="0" borderId="4" xfId="0" applyFont="1" applyBorder="1" applyAlignment="1" applyProtection="1">
      <alignment horizontal="distributed" vertical="center" justifyLastLine="1"/>
      <protection locked="0"/>
    </xf>
    <xf numFmtId="0" fontId="1" fillId="0" borderId="7" xfId="0" applyFont="1" applyBorder="1" applyAlignment="1" applyProtection="1">
      <alignment horizontal="distributed" vertical="center" justifyLastLine="1"/>
      <protection locked="0"/>
    </xf>
    <xf numFmtId="179" fontId="1" fillId="0" borderId="14" xfId="0" applyNumberFormat="1" applyFont="1" applyBorder="1" applyProtection="1">
      <protection locked="0"/>
    </xf>
    <xf numFmtId="0" fontId="19" fillId="0" borderId="0" xfId="0" applyFont="1" applyProtection="1">
      <protection locked="0"/>
    </xf>
    <xf numFmtId="179" fontId="1" fillId="0" borderId="0" xfId="0" applyNumberFormat="1" applyFont="1" applyProtection="1">
      <protection locked="0"/>
    </xf>
    <xf numFmtId="176" fontId="1" fillId="3" borderId="8" xfId="0" applyNumberFormat="1" applyFont="1" applyFill="1" applyBorder="1" applyProtection="1">
      <protection locked="0"/>
    </xf>
    <xf numFmtId="176" fontId="1" fillId="3" borderId="8" xfId="0" applyNumberFormat="1" applyFont="1" applyFill="1" applyBorder="1" applyAlignment="1" applyProtection="1">
      <alignment horizontal="right"/>
      <protection locked="0"/>
    </xf>
    <xf numFmtId="0" fontId="1" fillId="3" borderId="15" xfId="0" applyFont="1" applyFill="1" applyBorder="1" applyProtection="1">
      <protection locked="0"/>
    </xf>
    <xf numFmtId="176" fontId="1" fillId="3" borderId="1" xfId="0" applyNumberFormat="1" applyFont="1" applyFill="1" applyBorder="1" applyProtection="1">
      <protection locked="0"/>
    </xf>
    <xf numFmtId="176" fontId="1" fillId="3" borderId="2" xfId="0" applyNumberFormat="1" applyFont="1" applyFill="1" applyBorder="1" applyProtection="1">
      <protection locked="0"/>
    </xf>
    <xf numFmtId="49" fontId="1" fillId="0" borderId="7" xfId="0" applyNumberFormat="1" applyFont="1" applyBorder="1" applyAlignment="1" applyProtection="1">
      <alignment horizontal="left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 textRotation="255"/>
      <protection locked="0"/>
    </xf>
    <xf numFmtId="0" fontId="1" fillId="0" borderId="1" xfId="0" applyFont="1" applyBorder="1" applyAlignment="1" applyProtection="1">
      <alignment horizontal="center" vertical="center" textRotation="255"/>
      <protection locked="0"/>
    </xf>
    <xf numFmtId="0" fontId="1" fillId="0" borderId="3" xfId="0" applyFont="1" applyBorder="1" applyAlignment="1" applyProtection="1">
      <alignment horizontal="center" vertical="center" textRotation="255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textRotation="255"/>
      <protection locked="0"/>
    </xf>
    <xf numFmtId="0" fontId="1" fillId="0" borderId="15" xfId="0" applyFont="1" applyBorder="1" applyAlignment="1" applyProtection="1">
      <alignment horizontal="center" vertical="center" textRotation="255"/>
      <protection locked="0"/>
    </xf>
    <xf numFmtId="0" fontId="1" fillId="4" borderId="7" xfId="0" applyFont="1" applyFill="1" applyBorder="1" applyAlignment="1" applyProtection="1">
      <alignment horizontal="center" vertical="center" textRotation="255"/>
      <protection locked="0"/>
    </xf>
    <xf numFmtId="0" fontId="1" fillId="4" borderId="15" xfId="0" applyFont="1" applyFill="1" applyBorder="1" applyAlignment="1" applyProtection="1">
      <alignment horizontal="center" vertical="center" textRotation="255"/>
      <protection locked="0"/>
    </xf>
    <xf numFmtId="176" fontId="20" fillId="0" borderId="3" xfId="0" applyNumberFormat="1" applyFont="1" applyBorder="1" applyAlignment="1" applyProtection="1">
      <alignment horizontal="right"/>
      <protection locked="0"/>
    </xf>
    <xf numFmtId="176" fontId="20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distributed" vertical="center" justifyLastLine="1"/>
      <protection locked="0"/>
    </xf>
    <xf numFmtId="176" fontId="1" fillId="0" borderId="15" xfId="0" applyNumberFormat="1" applyFont="1" applyBorder="1" applyAlignment="1" applyProtection="1">
      <alignment horizontal="right"/>
      <protection locked="0"/>
    </xf>
    <xf numFmtId="0" fontId="1" fillId="4" borderId="7" xfId="0" applyFont="1" applyFill="1" applyBorder="1" applyProtection="1">
      <protection locked="0"/>
    </xf>
    <xf numFmtId="176" fontId="1" fillId="4" borderId="4" xfId="0" applyNumberFormat="1" applyFont="1" applyFill="1" applyBorder="1" applyProtection="1">
      <protection locked="0"/>
    </xf>
    <xf numFmtId="0" fontId="1" fillId="4" borderId="15" xfId="0" applyFont="1" applyFill="1" applyBorder="1" applyProtection="1">
      <protection locked="0"/>
    </xf>
    <xf numFmtId="178" fontId="1" fillId="0" borderId="8" xfId="0" applyNumberFormat="1" applyFont="1" applyBorder="1" applyAlignment="1" applyProtection="1">
      <alignment horizontal="center" vertical="center"/>
      <protection locked="0"/>
    </xf>
    <xf numFmtId="178" fontId="1" fillId="0" borderId="7" xfId="0" applyNumberFormat="1" applyFont="1" applyBorder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49" fontId="7" fillId="2" borderId="13" xfId="1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 textRotation="255"/>
      <protection locked="0"/>
    </xf>
    <xf numFmtId="0" fontId="1" fillId="0" borderId="1" xfId="0" applyFont="1" applyBorder="1" applyAlignment="1" applyProtection="1">
      <alignment horizontal="center" vertical="center" textRotation="255"/>
      <protection locked="0"/>
    </xf>
    <xf numFmtId="0" fontId="1" fillId="0" borderId="3" xfId="0" applyFont="1" applyBorder="1" applyAlignment="1" applyProtection="1">
      <alignment horizontal="center" vertical="center" textRotation="255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right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top" wrapText="1"/>
      <protection locked="0"/>
    </xf>
    <xf numFmtId="0" fontId="15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5" xfId="0" applyBorder="1"/>
    <xf numFmtId="0" fontId="1" fillId="0" borderId="7" xfId="0" applyFont="1" applyBorder="1" applyAlignment="1" applyProtection="1">
      <alignment horizontal="center" vertical="center" textRotation="255"/>
      <protection locked="0"/>
    </xf>
    <xf numFmtId="0" fontId="1" fillId="0" borderId="15" xfId="0" applyFont="1" applyBorder="1" applyAlignment="1" applyProtection="1">
      <alignment horizontal="center" vertical="center" textRotation="255"/>
      <protection locked="0"/>
    </xf>
    <xf numFmtId="0" fontId="1" fillId="0" borderId="12" xfId="0" applyFont="1" applyBorder="1" applyAlignment="1" applyProtection="1">
      <alignment horizontal="center" vertical="center" textRotation="255"/>
      <protection locked="0"/>
    </xf>
    <xf numFmtId="0" fontId="1" fillId="0" borderId="5" xfId="0" applyFont="1" applyBorder="1" applyAlignment="1" applyProtection="1">
      <alignment horizontal="center" vertical="center" justifyLastLine="1"/>
      <protection locked="0"/>
    </xf>
    <xf numFmtId="0" fontId="1" fillId="0" borderId="12" xfId="0" applyFont="1" applyBorder="1" applyAlignment="1" applyProtection="1">
      <alignment horizontal="center" vertical="center" justifyLastLine="1"/>
      <protection locked="0"/>
    </xf>
    <xf numFmtId="0" fontId="1" fillId="0" borderId="2" xfId="0" applyFont="1" applyBorder="1" applyAlignment="1" applyProtection="1">
      <alignment horizontal="center" vertical="center" justifyLastLine="1"/>
      <protection locked="0"/>
    </xf>
    <xf numFmtId="0" fontId="1" fillId="0" borderId="15" xfId="0" applyFont="1" applyBorder="1" applyAlignment="1" applyProtection="1">
      <alignment horizontal="center" vertical="center" justifyLastLine="1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 textRotation="255"/>
      <protection locked="0"/>
    </xf>
    <xf numFmtId="0" fontId="1" fillId="4" borderId="4" xfId="0" applyFont="1" applyFill="1" applyBorder="1" applyAlignment="1" applyProtection="1">
      <alignment horizontal="center" vertical="center" textRotation="255"/>
      <protection locked="0"/>
    </xf>
    <xf numFmtId="0" fontId="1" fillId="4" borderId="1" xfId="0" applyFont="1" applyFill="1" applyBorder="1" applyAlignment="1" applyProtection="1">
      <alignment horizontal="center" vertical="center" textRotation="255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 textRotation="255"/>
      <protection locked="0"/>
    </xf>
    <xf numFmtId="0" fontId="1" fillId="4" borderId="15" xfId="0" applyFont="1" applyFill="1" applyBorder="1" applyAlignment="1" applyProtection="1">
      <alignment horizontal="center" vertical="center" textRotation="255"/>
      <protection locked="0"/>
    </xf>
    <xf numFmtId="0" fontId="1" fillId="4" borderId="12" xfId="0" applyFont="1" applyFill="1" applyBorder="1" applyAlignment="1" applyProtection="1">
      <alignment horizontal="center" vertical="center" textRotation="255"/>
      <protection locked="0"/>
    </xf>
    <xf numFmtId="0" fontId="1" fillId="4" borderId="5" xfId="0" applyFont="1" applyFill="1" applyBorder="1" applyAlignment="1" applyProtection="1">
      <alignment horizontal="center" vertical="center" justifyLastLine="1"/>
      <protection locked="0"/>
    </xf>
    <xf numFmtId="0" fontId="1" fillId="4" borderId="12" xfId="0" applyFont="1" applyFill="1" applyBorder="1" applyAlignment="1" applyProtection="1">
      <alignment horizontal="center" vertical="center" justifyLastLine="1"/>
      <protection locked="0"/>
    </xf>
    <xf numFmtId="0" fontId="1" fillId="4" borderId="2" xfId="0" applyFont="1" applyFill="1" applyBorder="1" applyAlignment="1" applyProtection="1">
      <alignment horizontal="center" vertical="center" justifyLastLine="1"/>
      <protection locked="0"/>
    </xf>
    <xf numFmtId="0" fontId="1" fillId="4" borderId="15" xfId="0" applyFont="1" applyFill="1" applyBorder="1" applyAlignment="1" applyProtection="1">
      <alignment horizontal="center" vertical="center" justifyLastLine="1"/>
      <protection locked="0"/>
    </xf>
    <xf numFmtId="176" fontId="1" fillId="0" borderId="6" xfId="0" applyNumberFormat="1" applyFont="1" applyBorder="1" applyAlignment="1" applyProtection="1">
      <alignment horizontal="center" vertical="center"/>
      <protection locked="0"/>
    </xf>
    <xf numFmtId="176" fontId="1" fillId="0" borderId="7" xfId="0" applyNumberFormat="1" applyFont="1" applyBorder="1" applyAlignment="1" applyProtection="1">
      <alignment horizontal="center" vertical="center"/>
      <protection locked="0"/>
    </xf>
    <xf numFmtId="176" fontId="1" fillId="0" borderId="15" xfId="0" applyNumberFormat="1" applyFont="1" applyBorder="1" applyAlignment="1" applyProtection="1">
      <alignment horizontal="center" vertical="center"/>
      <protection locked="0"/>
    </xf>
    <xf numFmtId="176" fontId="1" fillId="0" borderId="4" xfId="0" applyNumberFormat="1" applyFont="1" applyBorder="1" applyAlignment="1" applyProtection="1">
      <alignment horizontal="center" vertical="center"/>
      <protection locked="0"/>
    </xf>
    <xf numFmtId="176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178" fontId="1" fillId="0" borderId="2" xfId="0" applyNumberFormat="1" applyFont="1" applyBorder="1" applyAlignment="1" applyProtection="1">
      <alignment horizontal="center" vertical="center"/>
      <protection locked="0"/>
    </xf>
    <xf numFmtId="178" fontId="1" fillId="0" borderId="15" xfId="0" applyNumberFormat="1" applyFont="1" applyBorder="1" applyAlignment="1" applyProtection="1">
      <alignment horizontal="center" vertical="center"/>
      <protection locked="0"/>
    </xf>
    <xf numFmtId="178" fontId="1" fillId="0" borderId="16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justify"/>
      <protection locked="0"/>
    </xf>
    <xf numFmtId="176" fontId="1" fillId="0" borderId="3" xfId="0" applyNumberFormat="1" applyFont="1" applyFill="1" applyBorder="1" applyAlignment="1" applyProtection="1">
      <alignment horizontal="right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justify"/>
      <protection locked="0"/>
    </xf>
    <xf numFmtId="176" fontId="1" fillId="0" borderId="1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Protection="1">
      <protection locked="0"/>
    </xf>
    <xf numFmtId="176" fontId="1" fillId="0" borderId="0" xfId="0" applyNumberFormat="1" applyFont="1" applyFill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176" fontId="1" fillId="0" borderId="3" xfId="0" applyNumberFormat="1" applyFont="1" applyFill="1" applyBorder="1" applyProtection="1">
      <protection locked="0"/>
    </xf>
    <xf numFmtId="176" fontId="20" fillId="0" borderId="3" xfId="0" applyNumberFormat="1" applyFont="1" applyFill="1" applyBorder="1" applyAlignment="1" applyProtection="1">
      <alignment horizontal="right"/>
      <protection locked="0"/>
    </xf>
    <xf numFmtId="177" fontId="1" fillId="0" borderId="3" xfId="0" applyNumberFormat="1" applyFont="1" applyFill="1" applyBorder="1" applyAlignment="1" applyProtection="1">
      <alignment horizontal="right"/>
      <protection locked="0"/>
    </xf>
    <xf numFmtId="176" fontId="1" fillId="0" borderId="1" xfId="0" applyNumberFormat="1" applyFont="1" applyFill="1" applyBorder="1" applyProtection="1">
      <protection locked="0"/>
    </xf>
    <xf numFmtId="176" fontId="20" fillId="0" borderId="1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Alignment="1" applyProtection="1">
      <alignment horizontal="center" vertical="justify"/>
      <protection locked="0"/>
    </xf>
    <xf numFmtId="176" fontId="1" fillId="4" borderId="1" xfId="0" applyNumberFormat="1" applyFont="1" applyFill="1" applyBorder="1" applyProtection="1">
      <protection locked="0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showGridLines="0" tabSelected="1" zoomScaleNormal="100" zoomScaleSheetLayoutView="100" workbookViewId="0">
      <selection activeCell="D30" sqref="D30"/>
    </sheetView>
  </sheetViews>
  <sheetFormatPr defaultRowHeight="12.75"/>
  <cols>
    <col min="1" max="1" width="9" style="15"/>
    <col min="2" max="2" width="2.375" style="16" customWidth="1"/>
    <col min="3" max="3" width="10.125" style="17" customWidth="1"/>
    <col min="4" max="4" width="57.625" style="18" customWidth="1"/>
    <col min="5" max="5" width="0.875" style="21" customWidth="1"/>
    <col min="6" max="6" width="18.625" style="22" customWidth="1"/>
    <col min="7" max="7" width="5.875" style="21" customWidth="1"/>
    <col min="8" max="257" width="9" style="21"/>
    <col min="258" max="258" width="2.375" style="21" customWidth="1"/>
    <col min="259" max="259" width="10.125" style="21" customWidth="1"/>
    <col min="260" max="260" width="57.625" style="21" customWidth="1"/>
    <col min="261" max="261" width="0.875" style="21" customWidth="1"/>
    <col min="262" max="262" width="18.625" style="21" customWidth="1"/>
    <col min="263" max="263" width="5.875" style="21" customWidth="1"/>
    <col min="264" max="513" width="9" style="21"/>
    <col min="514" max="514" width="2.375" style="21" customWidth="1"/>
    <col min="515" max="515" width="10.125" style="21" customWidth="1"/>
    <col min="516" max="516" width="57.625" style="21" customWidth="1"/>
    <col min="517" max="517" width="0.875" style="21" customWidth="1"/>
    <col min="518" max="518" width="18.625" style="21" customWidth="1"/>
    <col min="519" max="519" width="5.875" style="21" customWidth="1"/>
    <col min="520" max="769" width="9" style="21"/>
    <col min="770" max="770" width="2.375" style="21" customWidth="1"/>
    <col min="771" max="771" width="10.125" style="21" customWidth="1"/>
    <col min="772" max="772" width="57.625" style="21" customWidth="1"/>
    <col min="773" max="773" width="0.875" style="21" customWidth="1"/>
    <col min="774" max="774" width="18.625" style="21" customWidth="1"/>
    <col min="775" max="775" width="5.875" style="21" customWidth="1"/>
    <col min="776" max="1025" width="9" style="21"/>
    <col min="1026" max="1026" width="2.375" style="21" customWidth="1"/>
    <col min="1027" max="1027" width="10.125" style="21" customWidth="1"/>
    <col min="1028" max="1028" width="57.625" style="21" customWidth="1"/>
    <col min="1029" max="1029" width="0.875" style="21" customWidth="1"/>
    <col min="1030" max="1030" width="18.625" style="21" customWidth="1"/>
    <col min="1031" max="1031" width="5.875" style="21" customWidth="1"/>
    <col min="1032" max="1281" width="9" style="21"/>
    <col min="1282" max="1282" width="2.375" style="21" customWidth="1"/>
    <col min="1283" max="1283" width="10.125" style="21" customWidth="1"/>
    <col min="1284" max="1284" width="57.625" style="21" customWidth="1"/>
    <col min="1285" max="1285" width="0.875" style="21" customWidth="1"/>
    <col min="1286" max="1286" width="18.625" style="21" customWidth="1"/>
    <col min="1287" max="1287" width="5.875" style="21" customWidth="1"/>
    <col min="1288" max="1537" width="9" style="21"/>
    <col min="1538" max="1538" width="2.375" style="21" customWidth="1"/>
    <col min="1539" max="1539" width="10.125" style="21" customWidth="1"/>
    <col min="1540" max="1540" width="57.625" style="21" customWidth="1"/>
    <col min="1541" max="1541" width="0.875" style="21" customWidth="1"/>
    <col min="1542" max="1542" width="18.625" style="21" customWidth="1"/>
    <col min="1543" max="1543" width="5.875" style="21" customWidth="1"/>
    <col min="1544" max="1793" width="9" style="21"/>
    <col min="1794" max="1794" width="2.375" style="21" customWidth="1"/>
    <col min="1795" max="1795" width="10.125" style="21" customWidth="1"/>
    <col min="1796" max="1796" width="57.625" style="21" customWidth="1"/>
    <col min="1797" max="1797" width="0.875" style="21" customWidth="1"/>
    <col min="1798" max="1798" width="18.625" style="21" customWidth="1"/>
    <col min="1799" max="1799" width="5.875" style="21" customWidth="1"/>
    <col min="1800" max="2049" width="9" style="21"/>
    <col min="2050" max="2050" width="2.375" style="21" customWidth="1"/>
    <col min="2051" max="2051" width="10.125" style="21" customWidth="1"/>
    <col min="2052" max="2052" width="57.625" style="21" customWidth="1"/>
    <col min="2053" max="2053" width="0.875" style="21" customWidth="1"/>
    <col min="2054" max="2054" width="18.625" style="21" customWidth="1"/>
    <col min="2055" max="2055" width="5.875" style="21" customWidth="1"/>
    <col min="2056" max="2305" width="9" style="21"/>
    <col min="2306" max="2306" width="2.375" style="21" customWidth="1"/>
    <col min="2307" max="2307" width="10.125" style="21" customWidth="1"/>
    <col min="2308" max="2308" width="57.625" style="21" customWidth="1"/>
    <col min="2309" max="2309" width="0.875" style="21" customWidth="1"/>
    <col min="2310" max="2310" width="18.625" style="21" customWidth="1"/>
    <col min="2311" max="2311" width="5.875" style="21" customWidth="1"/>
    <col min="2312" max="2561" width="9" style="21"/>
    <col min="2562" max="2562" width="2.375" style="21" customWidth="1"/>
    <col min="2563" max="2563" width="10.125" style="21" customWidth="1"/>
    <col min="2564" max="2564" width="57.625" style="21" customWidth="1"/>
    <col min="2565" max="2565" width="0.875" style="21" customWidth="1"/>
    <col min="2566" max="2566" width="18.625" style="21" customWidth="1"/>
    <col min="2567" max="2567" width="5.875" style="21" customWidth="1"/>
    <col min="2568" max="2817" width="9" style="21"/>
    <col min="2818" max="2818" width="2.375" style="21" customWidth="1"/>
    <col min="2819" max="2819" width="10.125" style="21" customWidth="1"/>
    <col min="2820" max="2820" width="57.625" style="21" customWidth="1"/>
    <col min="2821" max="2821" width="0.875" style="21" customWidth="1"/>
    <col min="2822" max="2822" width="18.625" style="21" customWidth="1"/>
    <col min="2823" max="2823" width="5.875" style="21" customWidth="1"/>
    <col min="2824" max="3073" width="9" style="21"/>
    <col min="3074" max="3074" width="2.375" style="21" customWidth="1"/>
    <col min="3075" max="3075" width="10.125" style="21" customWidth="1"/>
    <col min="3076" max="3076" width="57.625" style="21" customWidth="1"/>
    <col min="3077" max="3077" width="0.875" style="21" customWidth="1"/>
    <col min="3078" max="3078" width="18.625" style="21" customWidth="1"/>
    <col min="3079" max="3079" width="5.875" style="21" customWidth="1"/>
    <col min="3080" max="3329" width="9" style="21"/>
    <col min="3330" max="3330" width="2.375" style="21" customWidth="1"/>
    <col min="3331" max="3331" width="10.125" style="21" customWidth="1"/>
    <col min="3332" max="3332" width="57.625" style="21" customWidth="1"/>
    <col min="3333" max="3333" width="0.875" style="21" customWidth="1"/>
    <col min="3334" max="3334" width="18.625" style="21" customWidth="1"/>
    <col min="3335" max="3335" width="5.875" style="21" customWidth="1"/>
    <col min="3336" max="3585" width="9" style="21"/>
    <col min="3586" max="3586" width="2.375" style="21" customWidth="1"/>
    <col min="3587" max="3587" width="10.125" style="21" customWidth="1"/>
    <col min="3588" max="3588" width="57.625" style="21" customWidth="1"/>
    <col min="3589" max="3589" width="0.875" style="21" customWidth="1"/>
    <col min="3590" max="3590" width="18.625" style="21" customWidth="1"/>
    <col min="3591" max="3591" width="5.875" style="21" customWidth="1"/>
    <col min="3592" max="3841" width="9" style="21"/>
    <col min="3842" max="3842" width="2.375" style="21" customWidth="1"/>
    <col min="3843" max="3843" width="10.125" style="21" customWidth="1"/>
    <col min="3844" max="3844" width="57.625" style="21" customWidth="1"/>
    <col min="3845" max="3845" width="0.875" style="21" customWidth="1"/>
    <col min="3846" max="3846" width="18.625" style="21" customWidth="1"/>
    <col min="3847" max="3847" width="5.875" style="21" customWidth="1"/>
    <col min="3848" max="4097" width="9" style="21"/>
    <col min="4098" max="4098" width="2.375" style="21" customWidth="1"/>
    <col min="4099" max="4099" width="10.125" style="21" customWidth="1"/>
    <col min="4100" max="4100" width="57.625" style="21" customWidth="1"/>
    <col min="4101" max="4101" width="0.875" style="21" customWidth="1"/>
    <col min="4102" max="4102" width="18.625" style="21" customWidth="1"/>
    <col min="4103" max="4103" width="5.875" style="21" customWidth="1"/>
    <col min="4104" max="4353" width="9" style="21"/>
    <col min="4354" max="4354" width="2.375" style="21" customWidth="1"/>
    <col min="4355" max="4355" width="10.125" style="21" customWidth="1"/>
    <col min="4356" max="4356" width="57.625" style="21" customWidth="1"/>
    <col min="4357" max="4357" width="0.875" style="21" customWidth="1"/>
    <col min="4358" max="4358" width="18.625" style="21" customWidth="1"/>
    <col min="4359" max="4359" width="5.875" style="21" customWidth="1"/>
    <col min="4360" max="4609" width="9" style="21"/>
    <col min="4610" max="4610" width="2.375" style="21" customWidth="1"/>
    <col min="4611" max="4611" width="10.125" style="21" customWidth="1"/>
    <col min="4612" max="4612" width="57.625" style="21" customWidth="1"/>
    <col min="4613" max="4613" width="0.875" style="21" customWidth="1"/>
    <col min="4614" max="4614" width="18.625" style="21" customWidth="1"/>
    <col min="4615" max="4615" width="5.875" style="21" customWidth="1"/>
    <col min="4616" max="4865" width="9" style="21"/>
    <col min="4866" max="4866" width="2.375" style="21" customWidth="1"/>
    <col min="4867" max="4867" width="10.125" style="21" customWidth="1"/>
    <col min="4868" max="4868" width="57.625" style="21" customWidth="1"/>
    <col min="4869" max="4869" width="0.875" style="21" customWidth="1"/>
    <col min="4870" max="4870" width="18.625" style="21" customWidth="1"/>
    <col min="4871" max="4871" width="5.875" style="21" customWidth="1"/>
    <col min="4872" max="5121" width="9" style="21"/>
    <col min="5122" max="5122" width="2.375" style="21" customWidth="1"/>
    <col min="5123" max="5123" width="10.125" style="21" customWidth="1"/>
    <col min="5124" max="5124" width="57.625" style="21" customWidth="1"/>
    <col min="5125" max="5125" width="0.875" style="21" customWidth="1"/>
    <col min="5126" max="5126" width="18.625" style="21" customWidth="1"/>
    <col min="5127" max="5127" width="5.875" style="21" customWidth="1"/>
    <col min="5128" max="5377" width="9" style="21"/>
    <col min="5378" max="5378" width="2.375" style="21" customWidth="1"/>
    <col min="5379" max="5379" width="10.125" style="21" customWidth="1"/>
    <col min="5380" max="5380" width="57.625" style="21" customWidth="1"/>
    <col min="5381" max="5381" width="0.875" style="21" customWidth="1"/>
    <col min="5382" max="5382" width="18.625" style="21" customWidth="1"/>
    <col min="5383" max="5383" width="5.875" style="21" customWidth="1"/>
    <col min="5384" max="5633" width="9" style="21"/>
    <col min="5634" max="5634" width="2.375" style="21" customWidth="1"/>
    <col min="5635" max="5635" width="10.125" style="21" customWidth="1"/>
    <col min="5636" max="5636" width="57.625" style="21" customWidth="1"/>
    <col min="5637" max="5637" width="0.875" style="21" customWidth="1"/>
    <col min="5638" max="5638" width="18.625" style="21" customWidth="1"/>
    <col min="5639" max="5639" width="5.875" style="21" customWidth="1"/>
    <col min="5640" max="5889" width="9" style="21"/>
    <col min="5890" max="5890" width="2.375" style="21" customWidth="1"/>
    <col min="5891" max="5891" width="10.125" style="21" customWidth="1"/>
    <col min="5892" max="5892" width="57.625" style="21" customWidth="1"/>
    <col min="5893" max="5893" width="0.875" style="21" customWidth="1"/>
    <col min="5894" max="5894" width="18.625" style="21" customWidth="1"/>
    <col min="5895" max="5895" width="5.875" style="21" customWidth="1"/>
    <col min="5896" max="6145" width="9" style="21"/>
    <col min="6146" max="6146" width="2.375" style="21" customWidth="1"/>
    <col min="6147" max="6147" width="10.125" style="21" customWidth="1"/>
    <col min="6148" max="6148" width="57.625" style="21" customWidth="1"/>
    <col min="6149" max="6149" width="0.875" style="21" customWidth="1"/>
    <col min="6150" max="6150" width="18.625" style="21" customWidth="1"/>
    <col min="6151" max="6151" width="5.875" style="21" customWidth="1"/>
    <col min="6152" max="6401" width="9" style="21"/>
    <col min="6402" max="6402" width="2.375" style="21" customWidth="1"/>
    <col min="6403" max="6403" width="10.125" style="21" customWidth="1"/>
    <col min="6404" max="6404" width="57.625" style="21" customWidth="1"/>
    <col min="6405" max="6405" width="0.875" style="21" customWidth="1"/>
    <col min="6406" max="6406" width="18.625" style="21" customWidth="1"/>
    <col min="6407" max="6407" width="5.875" style="21" customWidth="1"/>
    <col min="6408" max="6657" width="9" style="21"/>
    <col min="6658" max="6658" width="2.375" style="21" customWidth="1"/>
    <col min="6659" max="6659" width="10.125" style="21" customWidth="1"/>
    <col min="6660" max="6660" width="57.625" style="21" customWidth="1"/>
    <col min="6661" max="6661" width="0.875" style="21" customWidth="1"/>
    <col min="6662" max="6662" width="18.625" style="21" customWidth="1"/>
    <col min="6663" max="6663" width="5.875" style="21" customWidth="1"/>
    <col min="6664" max="6913" width="9" style="21"/>
    <col min="6914" max="6914" width="2.375" style="21" customWidth="1"/>
    <col min="6915" max="6915" width="10.125" style="21" customWidth="1"/>
    <col min="6916" max="6916" width="57.625" style="21" customWidth="1"/>
    <col min="6917" max="6917" width="0.875" style="21" customWidth="1"/>
    <col min="6918" max="6918" width="18.625" style="21" customWidth="1"/>
    <col min="6919" max="6919" width="5.875" style="21" customWidth="1"/>
    <col min="6920" max="7169" width="9" style="21"/>
    <col min="7170" max="7170" width="2.375" style="21" customWidth="1"/>
    <col min="7171" max="7171" width="10.125" style="21" customWidth="1"/>
    <col min="7172" max="7172" width="57.625" style="21" customWidth="1"/>
    <col min="7173" max="7173" width="0.875" style="21" customWidth="1"/>
    <col min="7174" max="7174" width="18.625" style="21" customWidth="1"/>
    <col min="7175" max="7175" width="5.875" style="21" customWidth="1"/>
    <col min="7176" max="7425" width="9" style="21"/>
    <col min="7426" max="7426" width="2.375" style="21" customWidth="1"/>
    <col min="7427" max="7427" width="10.125" style="21" customWidth="1"/>
    <col min="7428" max="7428" width="57.625" style="21" customWidth="1"/>
    <col min="7429" max="7429" width="0.875" style="21" customWidth="1"/>
    <col min="7430" max="7430" width="18.625" style="21" customWidth="1"/>
    <col min="7431" max="7431" width="5.875" style="21" customWidth="1"/>
    <col min="7432" max="7681" width="9" style="21"/>
    <col min="7682" max="7682" width="2.375" style="21" customWidth="1"/>
    <col min="7683" max="7683" width="10.125" style="21" customWidth="1"/>
    <col min="7684" max="7684" width="57.625" style="21" customWidth="1"/>
    <col min="7685" max="7685" width="0.875" style="21" customWidth="1"/>
    <col min="7686" max="7686" width="18.625" style="21" customWidth="1"/>
    <col min="7687" max="7687" width="5.875" style="21" customWidth="1"/>
    <col min="7688" max="7937" width="9" style="21"/>
    <col min="7938" max="7938" width="2.375" style="21" customWidth="1"/>
    <col min="7939" max="7939" width="10.125" style="21" customWidth="1"/>
    <col min="7940" max="7940" width="57.625" style="21" customWidth="1"/>
    <col min="7941" max="7941" width="0.875" style="21" customWidth="1"/>
    <col min="7942" max="7942" width="18.625" style="21" customWidth="1"/>
    <col min="7943" max="7943" width="5.875" style="21" customWidth="1"/>
    <col min="7944" max="8193" width="9" style="21"/>
    <col min="8194" max="8194" width="2.375" style="21" customWidth="1"/>
    <col min="8195" max="8195" width="10.125" style="21" customWidth="1"/>
    <col min="8196" max="8196" width="57.625" style="21" customWidth="1"/>
    <col min="8197" max="8197" width="0.875" style="21" customWidth="1"/>
    <col min="8198" max="8198" width="18.625" style="21" customWidth="1"/>
    <col min="8199" max="8199" width="5.875" style="21" customWidth="1"/>
    <col min="8200" max="8449" width="9" style="21"/>
    <col min="8450" max="8450" width="2.375" style="21" customWidth="1"/>
    <col min="8451" max="8451" width="10.125" style="21" customWidth="1"/>
    <col min="8452" max="8452" width="57.625" style="21" customWidth="1"/>
    <col min="8453" max="8453" width="0.875" style="21" customWidth="1"/>
    <col min="8454" max="8454" width="18.625" style="21" customWidth="1"/>
    <col min="8455" max="8455" width="5.875" style="21" customWidth="1"/>
    <col min="8456" max="8705" width="9" style="21"/>
    <col min="8706" max="8706" width="2.375" style="21" customWidth="1"/>
    <col min="8707" max="8707" width="10.125" style="21" customWidth="1"/>
    <col min="8708" max="8708" width="57.625" style="21" customWidth="1"/>
    <col min="8709" max="8709" width="0.875" style="21" customWidth="1"/>
    <col min="8710" max="8710" width="18.625" style="21" customWidth="1"/>
    <col min="8711" max="8711" width="5.875" style="21" customWidth="1"/>
    <col min="8712" max="8961" width="9" style="21"/>
    <col min="8962" max="8962" width="2.375" style="21" customWidth="1"/>
    <col min="8963" max="8963" width="10.125" style="21" customWidth="1"/>
    <col min="8964" max="8964" width="57.625" style="21" customWidth="1"/>
    <col min="8965" max="8965" width="0.875" style="21" customWidth="1"/>
    <col min="8966" max="8966" width="18.625" style="21" customWidth="1"/>
    <col min="8967" max="8967" width="5.875" style="21" customWidth="1"/>
    <col min="8968" max="9217" width="9" style="21"/>
    <col min="9218" max="9218" width="2.375" style="21" customWidth="1"/>
    <col min="9219" max="9219" width="10.125" style="21" customWidth="1"/>
    <col min="9220" max="9220" width="57.625" style="21" customWidth="1"/>
    <col min="9221" max="9221" width="0.875" style="21" customWidth="1"/>
    <col min="9222" max="9222" width="18.625" style="21" customWidth="1"/>
    <col min="9223" max="9223" width="5.875" style="21" customWidth="1"/>
    <col min="9224" max="9473" width="9" style="21"/>
    <col min="9474" max="9474" width="2.375" style="21" customWidth="1"/>
    <col min="9475" max="9475" width="10.125" style="21" customWidth="1"/>
    <col min="9476" max="9476" width="57.625" style="21" customWidth="1"/>
    <col min="9477" max="9477" width="0.875" style="21" customWidth="1"/>
    <col min="9478" max="9478" width="18.625" style="21" customWidth="1"/>
    <col min="9479" max="9479" width="5.875" style="21" customWidth="1"/>
    <col min="9480" max="9729" width="9" style="21"/>
    <col min="9730" max="9730" width="2.375" style="21" customWidth="1"/>
    <col min="9731" max="9731" width="10.125" style="21" customWidth="1"/>
    <col min="9732" max="9732" width="57.625" style="21" customWidth="1"/>
    <col min="9733" max="9733" width="0.875" style="21" customWidth="1"/>
    <col min="9734" max="9734" width="18.625" style="21" customWidth="1"/>
    <col min="9735" max="9735" width="5.875" style="21" customWidth="1"/>
    <col min="9736" max="9985" width="9" style="21"/>
    <col min="9986" max="9986" width="2.375" style="21" customWidth="1"/>
    <col min="9987" max="9987" width="10.125" style="21" customWidth="1"/>
    <col min="9988" max="9988" width="57.625" style="21" customWidth="1"/>
    <col min="9989" max="9989" width="0.875" style="21" customWidth="1"/>
    <col min="9990" max="9990" width="18.625" style="21" customWidth="1"/>
    <col min="9991" max="9991" width="5.875" style="21" customWidth="1"/>
    <col min="9992" max="10241" width="9" style="21"/>
    <col min="10242" max="10242" width="2.375" style="21" customWidth="1"/>
    <col min="10243" max="10243" width="10.125" style="21" customWidth="1"/>
    <col min="10244" max="10244" width="57.625" style="21" customWidth="1"/>
    <col min="10245" max="10245" width="0.875" style="21" customWidth="1"/>
    <col min="10246" max="10246" width="18.625" style="21" customWidth="1"/>
    <col min="10247" max="10247" width="5.875" style="21" customWidth="1"/>
    <col min="10248" max="10497" width="9" style="21"/>
    <col min="10498" max="10498" width="2.375" style="21" customWidth="1"/>
    <col min="10499" max="10499" width="10.125" style="21" customWidth="1"/>
    <col min="10500" max="10500" width="57.625" style="21" customWidth="1"/>
    <col min="10501" max="10501" width="0.875" style="21" customWidth="1"/>
    <col min="10502" max="10502" width="18.625" style="21" customWidth="1"/>
    <col min="10503" max="10503" width="5.875" style="21" customWidth="1"/>
    <col min="10504" max="10753" width="9" style="21"/>
    <col min="10754" max="10754" width="2.375" style="21" customWidth="1"/>
    <col min="10755" max="10755" width="10.125" style="21" customWidth="1"/>
    <col min="10756" max="10756" width="57.625" style="21" customWidth="1"/>
    <col min="10757" max="10757" width="0.875" style="21" customWidth="1"/>
    <col min="10758" max="10758" width="18.625" style="21" customWidth="1"/>
    <col min="10759" max="10759" width="5.875" style="21" customWidth="1"/>
    <col min="10760" max="11009" width="9" style="21"/>
    <col min="11010" max="11010" width="2.375" style="21" customWidth="1"/>
    <col min="11011" max="11011" width="10.125" style="21" customWidth="1"/>
    <col min="11012" max="11012" width="57.625" style="21" customWidth="1"/>
    <col min="11013" max="11013" width="0.875" style="21" customWidth="1"/>
    <col min="11014" max="11014" width="18.625" style="21" customWidth="1"/>
    <col min="11015" max="11015" width="5.875" style="21" customWidth="1"/>
    <col min="11016" max="11265" width="9" style="21"/>
    <col min="11266" max="11266" width="2.375" style="21" customWidth="1"/>
    <col min="11267" max="11267" width="10.125" style="21" customWidth="1"/>
    <col min="11268" max="11268" width="57.625" style="21" customWidth="1"/>
    <col min="11269" max="11269" width="0.875" style="21" customWidth="1"/>
    <col min="11270" max="11270" width="18.625" style="21" customWidth="1"/>
    <col min="11271" max="11271" width="5.875" style="21" customWidth="1"/>
    <col min="11272" max="11521" width="9" style="21"/>
    <col min="11522" max="11522" width="2.375" style="21" customWidth="1"/>
    <col min="11523" max="11523" width="10.125" style="21" customWidth="1"/>
    <col min="11524" max="11524" width="57.625" style="21" customWidth="1"/>
    <col min="11525" max="11525" width="0.875" style="21" customWidth="1"/>
    <col min="11526" max="11526" width="18.625" style="21" customWidth="1"/>
    <col min="11527" max="11527" width="5.875" style="21" customWidth="1"/>
    <col min="11528" max="11777" width="9" style="21"/>
    <col min="11778" max="11778" width="2.375" style="21" customWidth="1"/>
    <col min="11779" max="11779" width="10.125" style="21" customWidth="1"/>
    <col min="11780" max="11780" width="57.625" style="21" customWidth="1"/>
    <col min="11781" max="11781" width="0.875" style="21" customWidth="1"/>
    <col min="11782" max="11782" width="18.625" style="21" customWidth="1"/>
    <col min="11783" max="11783" width="5.875" style="21" customWidth="1"/>
    <col min="11784" max="12033" width="9" style="21"/>
    <col min="12034" max="12034" width="2.375" style="21" customWidth="1"/>
    <col min="12035" max="12035" width="10.125" style="21" customWidth="1"/>
    <col min="12036" max="12036" width="57.625" style="21" customWidth="1"/>
    <col min="12037" max="12037" width="0.875" style="21" customWidth="1"/>
    <col min="12038" max="12038" width="18.625" style="21" customWidth="1"/>
    <col min="12039" max="12039" width="5.875" style="21" customWidth="1"/>
    <col min="12040" max="12289" width="9" style="21"/>
    <col min="12290" max="12290" width="2.375" style="21" customWidth="1"/>
    <col min="12291" max="12291" width="10.125" style="21" customWidth="1"/>
    <col min="12292" max="12292" width="57.625" style="21" customWidth="1"/>
    <col min="12293" max="12293" width="0.875" style="21" customWidth="1"/>
    <col min="12294" max="12294" width="18.625" style="21" customWidth="1"/>
    <col min="12295" max="12295" width="5.875" style="21" customWidth="1"/>
    <col min="12296" max="12545" width="9" style="21"/>
    <col min="12546" max="12546" width="2.375" style="21" customWidth="1"/>
    <col min="12547" max="12547" width="10.125" style="21" customWidth="1"/>
    <col min="12548" max="12548" width="57.625" style="21" customWidth="1"/>
    <col min="12549" max="12549" width="0.875" style="21" customWidth="1"/>
    <col min="12550" max="12550" width="18.625" style="21" customWidth="1"/>
    <col min="12551" max="12551" width="5.875" style="21" customWidth="1"/>
    <col min="12552" max="12801" width="9" style="21"/>
    <col min="12802" max="12802" width="2.375" style="21" customWidth="1"/>
    <col min="12803" max="12803" width="10.125" style="21" customWidth="1"/>
    <col min="12804" max="12804" width="57.625" style="21" customWidth="1"/>
    <col min="12805" max="12805" width="0.875" style="21" customWidth="1"/>
    <col min="12806" max="12806" width="18.625" style="21" customWidth="1"/>
    <col min="12807" max="12807" width="5.875" style="21" customWidth="1"/>
    <col min="12808" max="13057" width="9" style="21"/>
    <col min="13058" max="13058" width="2.375" style="21" customWidth="1"/>
    <col min="13059" max="13059" width="10.125" style="21" customWidth="1"/>
    <col min="13060" max="13060" width="57.625" style="21" customWidth="1"/>
    <col min="13061" max="13061" width="0.875" style="21" customWidth="1"/>
    <col min="13062" max="13062" width="18.625" style="21" customWidth="1"/>
    <col min="13063" max="13063" width="5.875" style="21" customWidth="1"/>
    <col min="13064" max="13313" width="9" style="21"/>
    <col min="13314" max="13314" width="2.375" style="21" customWidth="1"/>
    <col min="13315" max="13315" width="10.125" style="21" customWidth="1"/>
    <col min="13316" max="13316" width="57.625" style="21" customWidth="1"/>
    <col min="13317" max="13317" width="0.875" style="21" customWidth="1"/>
    <col min="13318" max="13318" width="18.625" style="21" customWidth="1"/>
    <col min="13319" max="13319" width="5.875" style="21" customWidth="1"/>
    <col min="13320" max="13569" width="9" style="21"/>
    <col min="13570" max="13570" width="2.375" style="21" customWidth="1"/>
    <col min="13571" max="13571" width="10.125" style="21" customWidth="1"/>
    <col min="13572" max="13572" width="57.625" style="21" customWidth="1"/>
    <col min="13573" max="13573" width="0.875" style="21" customWidth="1"/>
    <col min="13574" max="13574" width="18.625" style="21" customWidth="1"/>
    <col min="13575" max="13575" width="5.875" style="21" customWidth="1"/>
    <col min="13576" max="13825" width="9" style="21"/>
    <col min="13826" max="13826" width="2.375" style="21" customWidth="1"/>
    <col min="13827" max="13827" width="10.125" style="21" customWidth="1"/>
    <col min="13828" max="13828" width="57.625" style="21" customWidth="1"/>
    <col min="13829" max="13829" width="0.875" style="21" customWidth="1"/>
    <col min="13830" max="13830" width="18.625" style="21" customWidth="1"/>
    <col min="13831" max="13831" width="5.875" style="21" customWidth="1"/>
    <col min="13832" max="14081" width="9" style="21"/>
    <col min="14082" max="14082" width="2.375" style="21" customWidth="1"/>
    <col min="14083" max="14083" width="10.125" style="21" customWidth="1"/>
    <col min="14084" max="14084" width="57.625" style="21" customWidth="1"/>
    <col min="14085" max="14085" width="0.875" style="21" customWidth="1"/>
    <col min="14086" max="14086" width="18.625" style="21" customWidth="1"/>
    <col min="14087" max="14087" width="5.875" style="21" customWidth="1"/>
    <col min="14088" max="14337" width="9" style="21"/>
    <col min="14338" max="14338" width="2.375" style="21" customWidth="1"/>
    <col min="14339" max="14339" width="10.125" style="21" customWidth="1"/>
    <col min="14340" max="14340" width="57.625" style="21" customWidth="1"/>
    <col min="14341" max="14341" width="0.875" style="21" customWidth="1"/>
    <col min="14342" max="14342" width="18.625" style="21" customWidth="1"/>
    <col min="14343" max="14343" width="5.875" style="21" customWidth="1"/>
    <col min="14344" max="14593" width="9" style="21"/>
    <col min="14594" max="14594" width="2.375" style="21" customWidth="1"/>
    <col min="14595" max="14595" width="10.125" style="21" customWidth="1"/>
    <col min="14596" max="14596" width="57.625" style="21" customWidth="1"/>
    <col min="14597" max="14597" width="0.875" style="21" customWidth="1"/>
    <col min="14598" max="14598" width="18.625" style="21" customWidth="1"/>
    <col min="14599" max="14599" width="5.875" style="21" customWidth="1"/>
    <col min="14600" max="14849" width="9" style="21"/>
    <col min="14850" max="14850" width="2.375" style="21" customWidth="1"/>
    <col min="14851" max="14851" width="10.125" style="21" customWidth="1"/>
    <col min="14852" max="14852" width="57.625" style="21" customWidth="1"/>
    <col min="14853" max="14853" width="0.875" style="21" customWidth="1"/>
    <col min="14854" max="14854" width="18.625" style="21" customWidth="1"/>
    <col min="14855" max="14855" width="5.875" style="21" customWidth="1"/>
    <col min="14856" max="15105" width="9" style="21"/>
    <col min="15106" max="15106" width="2.375" style="21" customWidth="1"/>
    <col min="15107" max="15107" width="10.125" style="21" customWidth="1"/>
    <col min="15108" max="15108" width="57.625" style="21" customWidth="1"/>
    <col min="15109" max="15109" width="0.875" style="21" customWidth="1"/>
    <col min="15110" max="15110" width="18.625" style="21" customWidth="1"/>
    <col min="15111" max="15111" width="5.875" style="21" customWidth="1"/>
    <col min="15112" max="15361" width="9" style="21"/>
    <col min="15362" max="15362" width="2.375" style="21" customWidth="1"/>
    <col min="15363" max="15363" width="10.125" style="21" customWidth="1"/>
    <col min="15364" max="15364" width="57.625" style="21" customWidth="1"/>
    <col min="15365" max="15365" width="0.875" style="21" customWidth="1"/>
    <col min="15366" max="15366" width="18.625" style="21" customWidth="1"/>
    <col min="15367" max="15367" width="5.875" style="21" customWidth="1"/>
    <col min="15368" max="15617" width="9" style="21"/>
    <col min="15618" max="15618" width="2.375" style="21" customWidth="1"/>
    <col min="15619" max="15619" width="10.125" style="21" customWidth="1"/>
    <col min="15620" max="15620" width="57.625" style="21" customWidth="1"/>
    <col min="15621" max="15621" width="0.875" style="21" customWidth="1"/>
    <col min="15622" max="15622" width="18.625" style="21" customWidth="1"/>
    <col min="15623" max="15623" width="5.875" style="21" customWidth="1"/>
    <col min="15624" max="15873" width="9" style="21"/>
    <col min="15874" max="15874" width="2.375" style="21" customWidth="1"/>
    <col min="15875" max="15875" width="10.125" style="21" customWidth="1"/>
    <col min="15876" max="15876" width="57.625" style="21" customWidth="1"/>
    <col min="15877" max="15877" width="0.875" style="21" customWidth="1"/>
    <col min="15878" max="15878" width="18.625" style="21" customWidth="1"/>
    <col min="15879" max="15879" width="5.875" style="21" customWidth="1"/>
    <col min="15880" max="16129" width="9" style="21"/>
    <col min="16130" max="16130" width="2.375" style="21" customWidth="1"/>
    <col min="16131" max="16131" width="10.125" style="21" customWidth="1"/>
    <col min="16132" max="16132" width="57.625" style="21" customWidth="1"/>
    <col min="16133" max="16133" width="0.875" style="21" customWidth="1"/>
    <col min="16134" max="16134" width="18.625" style="21" customWidth="1"/>
    <col min="16135" max="16135" width="5.875" style="21" customWidth="1"/>
    <col min="16136" max="16384" width="9" style="21"/>
  </cols>
  <sheetData>
    <row r="1" spans="1:6" s="9" customFormat="1" ht="15" customHeight="1">
      <c r="A1" s="5"/>
      <c r="B1" s="156" t="s">
        <v>31</v>
      </c>
      <c r="C1" s="156"/>
      <c r="D1" s="6" t="s">
        <v>32</v>
      </c>
      <c r="E1" s="7"/>
      <c r="F1" s="8" t="s">
        <v>33</v>
      </c>
    </row>
    <row r="2" spans="1:6" s="9" customFormat="1" ht="10.15" customHeight="1">
      <c r="A2" s="5"/>
      <c r="B2" s="10"/>
      <c r="C2" s="11"/>
      <c r="D2" s="12"/>
      <c r="E2" s="13"/>
      <c r="F2" s="14"/>
    </row>
    <row r="3" spans="1:6" s="19" customFormat="1" ht="24" customHeight="1">
      <c r="A3" s="15"/>
      <c r="B3" s="16" t="s">
        <v>191</v>
      </c>
      <c r="C3" s="17"/>
      <c r="D3" s="18"/>
      <c r="F3" s="20"/>
    </row>
    <row r="4" spans="1:6" s="19" customFormat="1" ht="15" customHeight="1">
      <c r="A4" s="15"/>
      <c r="B4" s="16"/>
      <c r="C4" s="17" t="s">
        <v>184</v>
      </c>
      <c r="D4" s="18" t="s">
        <v>35</v>
      </c>
      <c r="F4" s="20" t="s">
        <v>34</v>
      </c>
    </row>
    <row r="5" spans="1:6" s="19" customFormat="1" ht="15" customHeight="1">
      <c r="A5" s="15"/>
      <c r="B5" s="16"/>
      <c r="C5" s="17" t="s">
        <v>185</v>
      </c>
      <c r="D5" s="18" t="s">
        <v>36</v>
      </c>
      <c r="F5" s="20" t="s">
        <v>34</v>
      </c>
    </row>
    <row r="6" spans="1:6" s="19" customFormat="1" ht="15" customHeight="1">
      <c r="A6" s="15"/>
      <c r="B6" s="16"/>
      <c r="C6" s="17" t="s">
        <v>186</v>
      </c>
      <c r="D6" s="18" t="s">
        <v>37</v>
      </c>
      <c r="F6" s="20" t="s">
        <v>34</v>
      </c>
    </row>
    <row r="7" spans="1:6" s="19" customFormat="1" ht="15" customHeight="1">
      <c r="A7" s="15"/>
      <c r="B7" s="16"/>
      <c r="C7" s="17" t="s">
        <v>187</v>
      </c>
      <c r="D7" s="18" t="s">
        <v>38</v>
      </c>
      <c r="F7" s="20" t="s">
        <v>34</v>
      </c>
    </row>
    <row r="8" spans="1:6" s="19" customFormat="1" ht="15" customHeight="1">
      <c r="A8" s="15"/>
      <c r="B8" s="16"/>
      <c r="C8" s="17" t="s">
        <v>188</v>
      </c>
      <c r="D8" s="18" t="s">
        <v>39</v>
      </c>
      <c r="F8" s="20" t="s">
        <v>34</v>
      </c>
    </row>
    <row r="9" spans="1:6" s="19" customFormat="1" ht="15" customHeight="1">
      <c r="A9" s="15"/>
      <c r="B9" s="16"/>
      <c r="C9" s="17" t="s">
        <v>189</v>
      </c>
      <c r="D9" s="18" t="s">
        <v>40</v>
      </c>
      <c r="F9" s="20" t="s">
        <v>34</v>
      </c>
    </row>
    <row r="10" spans="1:6" s="19" customFormat="1" ht="15" customHeight="1">
      <c r="A10" s="15"/>
      <c r="B10" s="16"/>
      <c r="C10" s="17" t="s">
        <v>190</v>
      </c>
      <c r="D10" s="18" t="s">
        <v>41</v>
      </c>
      <c r="F10" s="20" t="s">
        <v>34</v>
      </c>
    </row>
    <row r="11" spans="1:6" s="19" customFormat="1" ht="15" customHeight="1">
      <c r="A11" s="15"/>
      <c r="B11" s="16"/>
      <c r="C11" s="17"/>
      <c r="D11" s="18"/>
      <c r="F11" s="20"/>
    </row>
  </sheetData>
  <mergeCells count="1">
    <mergeCell ref="B1:C1"/>
  </mergeCells>
  <phoneticPr fontId="2"/>
  <printOptions horizontalCentered="1"/>
  <pageMargins left="0.39370078740157483" right="0.47244094488188981" top="0.9055118110236221" bottom="0.98425196850393704" header="0.51181102362204722" footer="0.51181102362204722"/>
  <pageSetup paperSize="9" scale="85" orientation="portrait" r:id="rId1"/>
  <headerFooter alignWithMargins="0">
    <oddFooter>&amp;C&amp;9目次 - &amp;P -</oddFooter>
  </headerFooter>
  <ignoredErrors>
    <ignoredError sqref="C4:C10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77C0-F411-4EBD-8C85-842142E99B5C}">
  <dimension ref="A1:T48"/>
  <sheetViews>
    <sheetView showGridLines="0" zoomScale="130" zoomScaleNormal="130" zoomScaleSheetLayoutView="15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34" sqref="A34:C35"/>
    </sheetView>
  </sheetViews>
  <sheetFormatPr defaultColWidth="11.625" defaultRowHeight="7.15"/>
  <cols>
    <col min="1" max="15" width="6.25" style="1" customWidth="1"/>
    <col min="16" max="17" width="4.75" style="1" bestFit="1" customWidth="1"/>
    <col min="18" max="20" width="4.75" style="1" customWidth="1"/>
    <col min="21" max="256" width="11.625" style="1"/>
    <col min="257" max="271" width="6.25" style="1" customWidth="1"/>
    <col min="272" max="273" width="4.75" style="1" bestFit="1" customWidth="1"/>
    <col min="274" max="276" width="4.75" style="1" customWidth="1"/>
    <col min="277" max="512" width="11.625" style="1"/>
    <col min="513" max="527" width="6.25" style="1" customWidth="1"/>
    <col min="528" max="529" width="4.75" style="1" bestFit="1" customWidth="1"/>
    <col min="530" max="532" width="4.75" style="1" customWidth="1"/>
    <col min="533" max="768" width="11.625" style="1"/>
    <col min="769" max="783" width="6.25" style="1" customWidth="1"/>
    <col min="784" max="785" width="4.75" style="1" bestFit="1" customWidth="1"/>
    <col min="786" max="788" width="4.75" style="1" customWidth="1"/>
    <col min="789" max="1024" width="11.625" style="1"/>
    <col min="1025" max="1039" width="6.25" style="1" customWidth="1"/>
    <col min="1040" max="1041" width="4.75" style="1" bestFit="1" customWidth="1"/>
    <col min="1042" max="1044" width="4.75" style="1" customWidth="1"/>
    <col min="1045" max="1280" width="11.625" style="1"/>
    <col min="1281" max="1295" width="6.25" style="1" customWidth="1"/>
    <col min="1296" max="1297" width="4.75" style="1" bestFit="1" customWidth="1"/>
    <col min="1298" max="1300" width="4.75" style="1" customWidth="1"/>
    <col min="1301" max="1536" width="11.625" style="1"/>
    <col min="1537" max="1551" width="6.25" style="1" customWidth="1"/>
    <col min="1552" max="1553" width="4.75" style="1" bestFit="1" customWidth="1"/>
    <col min="1554" max="1556" width="4.75" style="1" customWidth="1"/>
    <col min="1557" max="1792" width="11.625" style="1"/>
    <col min="1793" max="1807" width="6.25" style="1" customWidth="1"/>
    <col min="1808" max="1809" width="4.75" style="1" bestFit="1" customWidth="1"/>
    <col min="1810" max="1812" width="4.75" style="1" customWidth="1"/>
    <col min="1813" max="2048" width="11.625" style="1"/>
    <col min="2049" max="2063" width="6.25" style="1" customWidth="1"/>
    <col min="2064" max="2065" width="4.75" style="1" bestFit="1" customWidth="1"/>
    <col min="2066" max="2068" width="4.75" style="1" customWidth="1"/>
    <col min="2069" max="2304" width="11.625" style="1"/>
    <col min="2305" max="2319" width="6.25" style="1" customWidth="1"/>
    <col min="2320" max="2321" width="4.75" style="1" bestFit="1" customWidth="1"/>
    <col min="2322" max="2324" width="4.75" style="1" customWidth="1"/>
    <col min="2325" max="2560" width="11.625" style="1"/>
    <col min="2561" max="2575" width="6.25" style="1" customWidth="1"/>
    <col min="2576" max="2577" width="4.75" style="1" bestFit="1" customWidth="1"/>
    <col min="2578" max="2580" width="4.75" style="1" customWidth="1"/>
    <col min="2581" max="2816" width="11.625" style="1"/>
    <col min="2817" max="2831" width="6.25" style="1" customWidth="1"/>
    <col min="2832" max="2833" width="4.75" style="1" bestFit="1" customWidth="1"/>
    <col min="2834" max="2836" width="4.75" style="1" customWidth="1"/>
    <col min="2837" max="3072" width="11.625" style="1"/>
    <col min="3073" max="3087" width="6.25" style="1" customWidth="1"/>
    <col min="3088" max="3089" width="4.75" style="1" bestFit="1" customWidth="1"/>
    <col min="3090" max="3092" width="4.75" style="1" customWidth="1"/>
    <col min="3093" max="3328" width="11.625" style="1"/>
    <col min="3329" max="3343" width="6.25" style="1" customWidth="1"/>
    <col min="3344" max="3345" width="4.75" style="1" bestFit="1" customWidth="1"/>
    <col min="3346" max="3348" width="4.75" style="1" customWidth="1"/>
    <col min="3349" max="3584" width="11.625" style="1"/>
    <col min="3585" max="3599" width="6.25" style="1" customWidth="1"/>
    <col min="3600" max="3601" width="4.75" style="1" bestFit="1" customWidth="1"/>
    <col min="3602" max="3604" width="4.75" style="1" customWidth="1"/>
    <col min="3605" max="3840" width="11.625" style="1"/>
    <col min="3841" max="3855" width="6.25" style="1" customWidth="1"/>
    <col min="3856" max="3857" width="4.75" style="1" bestFit="1" customWidth="1"/>
    <col min="3858" max="3860" width="4.75" style="1" customWidth="1"/>
    <col min="3861" max="4096" width="11.625" style="1"/>
    <col min="4097" max="4111" width="6.25" style="1" customWidth="1"/>
    <col min="4112" max="4113" width="4.75" style="1" bestFit="1" customWidth="1"/>
    <col min="4114" max="4116" width="4.75" style="1" customWidth="1"/>
    <col min="4117" max="4352" width="11.625" style="1"/>
    <col min="4353" max="4367" width="6.25" style="1" customWidth="1"/>
    <col min="4368" max="4369" width="4.75" style="1" bestFit="1" customWidth="1"/>
    <col min="4370" max="4372" width="4.75" style="1" customWidth="1"/>
    <col min="4373" max="4608" width="11.625" style="1"/>
    <col min="4609" max="4623" width="6.25" style="1" customWidth="1"/>
    <col min="4624" max="4625" width="4.75" style="1" bestFit="1" customWidth="1"/>
    <col min="4626" max="4628" width="4.75" style="1" customWidth="1"/>
    <col min="4629" max="4864" width="11.625" style="1"/>
    <col min="4865" max="4879" width="6.25" style="1" customWidth="1"/>
    <col min="4880" max="4881" width="4.75" style="1" bestFit="1" customWidth="1"/>
    <col min="4882" max="4884" width="4.75" style="1" customWidth="1"/>
    <col min="4885" max="5120" width="11.625" style="1"/>
    <col min="5121" max="5135" width="6.25" style="1" customWidth="1"/>
    <col min="5136" max="5137" width="4.75" style="1" bestFit="1" customWidth="1"/>
    <col min="5138" max="5140" width="4.75" style="1" customWidth="1"/>
    <col min="5141" max="5376" width="11.625" style="1"/>
    <col min="5377" max="5391" width="6.25" style="1" customWidth="1"/>
    <col min="5392" max="5393" width="4.75" style="1" bestFit="1" customWidth="1"/>
    <col min="5394" max="5396" width="4.75" style="1" customWidth="1"/>
    <col min="5397" max="5632" width="11.625" style="1"/>
    <col min="5633" max="5647" width="6.25" style="1" customWidth="1"/>
    <col min="5648" max="5649" width="4.75" style="1" bestFit="1" customWidth="1"/>
    <col min="5650" max="5652" width="4.75" style="1" customWidth="1"/>
    <col min="5653" max="5888" width="11.625" style="1"/>
    <col min="5889" max="5903" width="6.25" style="1" customWidth="1"/>
    <col min="5904" max="5905" width="4.75" style="1" bestFit="1" customWidth="1"/>
    <col min="5906" max="5908" width="4.75" style="1" customWidth="1"/>
    <col min="5909" max="6144" width="11.625" style="1"/>
    <col min="6145" max="6159" width="6.25" style="1" customWidth="1"/>
    <col min="6160" max="6161" width="4.75" style="1" bestFit="1" customWidth="1"/>
    <col min="6162" max="6164" width="4.75" style="1" customWidth="1"/>
    <col min="6165" max="6400" width="11.625" style="1"/>
    <col min="6401" max="6415" width="6.25" style="1" customWidth="1"/>
    <col min="6416" max="6417" width="4.75" style="1" bestFit="1" customWidth="1"/>
    <col min="6418" max="6420" width="4.75" style="1" customWidth="1"/>
    <col min="6421" max="6656" width="11.625" style="1"/>
    <col min="6657" max="6671" width="6.25" style="1" customWidth="1"/>
    <col min="6672" max="6673" width="4.75" style="1" bestFit="1" customWidth="1"/>
    <col min="6674" max="6676" width="4.75" style="1" customWidth="1"/>
    <col min="6677" max="6912" width="11.625" style="1"/>
    <col min="6913" max="6927" width="6.25" style="1" customWidth="1"/>
    <col min="6928" max="6929" width="4.75" style="1" bestFit="1" customWidth="1"/>
    <col min="6930" max="6932" width="4.75" style="1" customWidth="1"/>
    <col min="6933" max="7168" width="11.625" style="1"/>
    <col min="7169" max="7183" width="6.25" style="1" customWidth="1"/>
    <col min="7184" max="7185" width="4.75" style="1" bestFit="1" customWidth="1"/>
    <col min="7186" max="7188" width="4.75" style="1" customWidth="1"/>
    <col min="7189" max="7424" width="11.625" style="1"/>
    <col min="7425" max="7439" width="6.25" style="1" customWidth="1"/>
    <col min="7440" max="7441" width="4.75" style="1" bestFit="1" customWidth="1"/>
    <col min="7442" max="7444" width="4.75" style="1" customWidth="1"/>
    <col min="7445" max="7680" width="11.625" style="1"/>
    <col min="7681" max="7695" width="6.25" style="1" customWidth="1"/>
    <col min="7696" max="7697" width="4.75" style="1" bestFit="1" customWidth="1"/>
    <col min="7698" max="7700" width="4.75" style="1" customWidth="1"/>
    <col min="7701" max="7936" width="11.625" style="1"/>
    <col min="7937" max="7951" width="6.25" style="1" customWidth="1"/>
    <col min="7952" max="7953" width="4.75" style="1" bestFit="1" customWidth="1"/>
    <col min="7954" max="7956" width="4.75" style="1" customWidth="1"/>
    <col min="7957" max="8192" width="11.625" style="1"/>
    <col min="8193" max="8207" width="6.25" style="1" customWidth="1"/>
    <col min="8208" max="8209" width="4.75" style="1" bestFit="1" customWidth="1"/>
    <col min="8210" max="8212" width="4.75" style="1" customWidth="1"/>
    <col min="8213" max="8448" width="11.625" style="1"/>
    <col min="8449" max="8463" width="6.25" style="1" customWidth="1"/>
    <col min="8464" max="8465" width="4.75" style="1" bestFit="1" customWidth="1"/>
    <col min="8466" max="8468" width="4.75" style="1" customWidth="1"/>
    <col min="8469" max="8704" width="11.625" style="1"/>
    <col min="8705" max="8719" width="6.25" style="1" customWidth="1"/>
    <col min="8720" max="8721" width="4.75" style="1" bestFit="1" customWidth="1"/>
    <col min="8722" max="8724" width="4.75" style="1" customWidth="1"/>
    <col min="8725" max="8960" width="11.625" style="1"/>
    <col min="8961" max="8975" width="6.25" style="1" customWidth="1"/>
    <col min="8976" max="8977" width="4.75" style="1" bestFit="1" customWidth="1"/>
    <col min="8978" max="8980" width="4.75" style="1" customWidth="1"/>
    <col min="8981" max="9216" width="11.625" style="1"/>
    <col min="9217" max="9231" width="6.25" style="1" customWidth="1"/>
    <col min="9232" max="9233" width="4.75" style="1" bestFit="1" customWidth="1"/>
    <col min="9234" max="9236" width="4.75" style="1" customWidth="1"/>
    <col min="9237" max="9472" width="11.625" style="1"/>
    <col min="9473" max="9487" width="6.25" style="1" customWidth="1"/>
    <col min="9488" max="9489" width="4.75" style="1" bestFit="1" customWidth="1"/>
    <col min="9490" max="9492" width="4.75" style="1" customWidth="1"/>
    <col min="9493" max="9728" width="11.625" style="1"/>
    <col min="9729" max="9743" width="6.25" style="1" customWidth="1"/>
    <col min="9744" max="9745" width="4.75" style="1" bestFit="1" customWidth="1"/>
    <col min="9746" max="9748" width="4.75" style="1" customWidth="1"/>
    <col min="9749" max="9984" width="11.625" style="1"/>
    <col min="9985" max="9999" width="6.25" style="1" customWidth="1"/>
    <col min="10000" max="10001" width="4.75" style="1" bestFit="1" customWidth="1"/>
    <col min="10002" max="10004" width="4.75" style="1" customWidth="1"/>
    <col min="10005" max="10240" width="11.625" style="1"/>
    <col min="10241" max="10255" width="6.25" style="1" customWidth="1"/>
    <col min="10256" max="10257" width="4.75" style="1" bestFit="1" customWidth="1"/>
    <col min="10258" max="10260" width="4.75" style="1" customWidth="1"/>
    <col min="10261" max="10496" width="11.625" style="1"/>
    <col min="10497" max="10511" width="6.25" style="1" customWidth="1"/>
    <col min="10512" max="10513" width="4.75" style="1" bestFit="1" customWidth="1"/>
    <col min="10514" max="10516" width="4.75" style="1" customWidth="1"/>
    <col min="10517" max="10752" width="11.625" style="1"/>
    <col min="10753" max="10767" width="6.25" style="1" customWidth="1"/>
    <col min="10768" max="10769" width="4.75" style="1" bestFit="1" customWidth="1"/>
    <col min="10770" max="10772" width="4.75" style="1" customWidth="1"/>
    <col min="10773" max="11008" width="11.625" style="1"/>
    <col min="11009" max="11023" width="6.25" style="1" customWidth="1"/>
    <col min="11024" max="11025" width="4.75" style="1" bestFit="1" customWidth="1"/>
    <col min="11026" max="11028" width="4.75" style="1" customWidth="1"/>
    <col min="11029" max="11264" width="11.625" style="1"/>
    <col min="11265" max="11279" width="6.25" style="1" customWidth="1"/>
    <col min="11280" max="11281" width="4.75" style="1" bestFit="1" customWidth="1"/>
    <col min="11282" max="11284" width="4.75" style="1" customWidth="1"/>
    <col min="11285" max="11520" width="11.625" style="1"/>
    <col min="11521" max="11535" width="6.25" style="1" customWidth="1"/>
    <col min="11536" max="11537" width="4.75" style="1" bestFit="1" customWidth="1"/>
    <col min="11538" max="11540" width="4.75" style="1" customWidth="1"/>
    <col min="11541" max="11776" width="11.625" style="1"/>
    <col min="11777" max="11791" width="6.25" style="1" customWidth="1"/>
    <col min="11792" max="11793" width="4.75" style="1" bestFit="1" customWidth="1"/>
    <col min="11794" max="11796" width="4.75" style="1" customWidth="1"/>
    <col min="11797" max="12032" width="11.625" style="1"/>
    <col min="12033" max="12047" width="6.25" style="1" customWidth="1"/>
    <col min="12048" max="12049" width="4.75" style="1" bestFit="1" customWidth="1"/>
    <col min="12050" max="12052" width="4.75" style="1" customWidth="1"/>
    <col min="12053" max="12288" width="11.625" style="1"/>
    <col min="12289" max="12303" width="6.25" style="1" customWidth="1"/>
    <col min="12304" max="12305" width="4.75" style="1" bestFit="1" customWidth="1"/>
    <col min="12306" max="12308" width="4.75" style="1" customWidth="1"/>
    <col min="12309" max="12544" width="11.625" style="1"/>
    <col min="12545" max="12559" width="6.25" style="1" customWidth="1"/>
    <col min="12560" max="12561" width="4.75" style="1" bestFit="1" customWidth="1"/>
    <col min="12562" max="12564" width="4.75" style="1" customWidth="1"/>
    <col min="12565" max="12800" width="11.625" style="1"/>
    <col min="12801" max="12815" width="6.25" style="1" customWidth="1"/>
    <col min="12816" max="12817" width="4.75" style="1" bestFit="1" customWidth="1"/>
    <col min="12818" max="12820" width="4.75" style="1" customWidth="1"/>
    <col min="12821" max="13056" width="11.625" style="1"/>
    <col min="13057" max="13071" width="6.25" style="1" customWidth="1"/>
    <col min="13072" max="13073" width="4.75" style="1" bestFit="1" customWidth="1"/>
    <col min="13074" max="13076" width="4.75" style="1" customWidth="1"/>
    <col min="13077" max="13312" width="11.625" style="1"/>
    <col min="13313" max="13327" width="6.25" style="1" customWidth="1"/>
    <col min="13328" max="13329" width="4.75" style="1" bestFit="1" customWidth="1"/>
    <col min="13330" max="13332" width="4.75" style="1" customWidth="1"/>
    <col min="13333" max="13568" width="11.625" style="1"/>
    <col min="13569" max="13583" width="6.25" style="1" customWidth="1"/>
    <col min="13584" max="13585" width="4.75" style="1" bestFit="1" customWidth="1"/>
    <col min="13586" max="13588" width="4.75" style="1" customWidth="1"/>
    <col min="13589" max="13824" width="11.625" style="1"/>
    <col min="13825" max="13839" width="6.25" style="1" customWidth="1"/>
    <col min="13840" max="13841" width="4.75" style="1" bestFit="1" customWidth="1"/>
    <col min="13842" max="13844" width="4.75" style="1" customWidth="1"/>
    <col min="13845" max="14080" width="11.625" style="1"/>
    <col min="14081" max="14095" width="6.25" style="1" customWidth="1"/>
    <col min="14096" max="14097" width="4.75" style="1" bestFit="1" customWidth="1"/>
    <col min="14098" max="14100" width="4.75" style="1" customWidth="1"/>
    <col min="14101" max="14336" width="11.625" style="1"/>
    <col min="14337" max="14351" width="6.25" style="1" customWidth="1"/>
    <col min="14352" max="14353" width="4.75" style="1" bestFit="1" customWidth="1"/>
    <col min="14354" max="14356" width="4.75" style="1" customWidth="1"/>
    <col min="14357" max="14592" width="11.625" style="1"/>
    <col min="14593" max="14607" width="6.25" style="1" customWidth="1"/>
    <col min="14608" max="14609" width="4.75" style="1" bestFit="1" customWidth="1"/>
    <col min="14610" max="14612" width="4.75" style="1" customWidth="1"/>
    <col min="14613" max="14848" width="11.625" style="1"/>
    <col min="14849" max="14863" width="6.25" style="1" customWidth="1"/>
    <col min="14864" max="14865" width="4.75" style="1" bestFit="1" customWidth="1"/>
    <col min="14866" max="14868" width="4.75" style="1" customWidth="1"/>
    <col min="14869" max="15104" width="11.625" style="1"/>
    <col min="15105" max="15119" width="6.25" style="1" customWidth="1"/>
    <col min="15120" max="15121" width="4.75" style="1" bestFit="1" customWidth="1"/>
    <col min="15122" max="15124" width="4.75" style="1" customWidth="1"/>
    <col min="15125" max="15360" width="11.625" style="1"/>
    <col min="15361" max="15375" width="6.25" style="1" customWidth="1"/>
    <col min="15376" max="15377" width="4.75" style="1" bestFit="1" customWidth="1"/>
    <col min="15378" max="15380" width="4.75" style="1" customWidth="1"/>
    <col min="15381" max="15616" width="11.625" style="1"/>
    <col min="15617" max="15631" width="6.25" style="1" customWidth="1"/>
    <col min="15632" max="15633" width="4.75" style="1" bestFit="1" customWidth="1"/>
    <col min="15634" max="15636" width="4.75" style="1" customWidth="1"/>
    <col min="15637" max="15872" width="11.625" style="1"/>
    <col min="15873" max="15887" width="6.25" style="1" customWidth="1"/>
    <col min="15888" max="15889" width="4.75" style="1" bestFit="1" customWidth="1"/>
    <col min="15890" max="15892" width="4.75" style="1" customWidth="1"/>
    <col min="15893" max="16128" width="11.625" style="1"/>
    <col min="16129" max="16143" width="6.25" style="1" customWidth="1"/>
    <col min="16144" max="16145" width="4.75" style="1" bestFit="1" customWidth="1"/>
    <col min="16146" max="16148" width="4.75" style="1" customWidth="1"/>
    <col min="16149" max="16384" width="11.625" style="1"/>
  </cols>
  <sheetData>
    <row r="1" spans="1:20" s="40" customFormat="1" ht="25.5">
      <c r="A1" s="78" t="s">
        <v>157</v>
      </c>
    </row>
    <row r="2" spans="1:20" s="4" customFormat="1" ht="30" customHeight="1">
      <c r="A2" s="25" t="s">
        <v>158</v>
      </c>
    </row>
    <row r="4" spans="1:20">
      <c r="A4" s="166"/>
      <c r="B4" s="166"/>
      <c r="C4" s="166" t="s">
        <v>30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</row>
    <row r="5" spans="1:20">
      <c r="A5" s="166"/>
      <c r="B5" s="166"/>
      <c r="C5" s="163" t="s">
        <v>29</v>
      </c>
      <c r="D5" s="163"/>
      <c r="E5" s="163"/>
      <c r="F5" s="163"/>
      <c r="G5" s="163"/>
      <c r="H5" s="163"/>
      <c r="I5" s="163"/>
      <c r="J5" s="163"/>
      <c r="K5" s="164"/>
      <c r="L5" s="165" t="s">
        <v>28</v>
      </c>
      <c r="M5" s="165"/>
      <c r="N5" s="165"/>
      <c r="O5" s="165"/>
      <c r="P5" s="157"/>
      <c r="Q5" s="157"/>
      <c r="R5" s="3"/>
      <c r="S5" s="3"/>
      <c r="T5" s="3"/>
    </row>
    <row r="6" spans="1:20" ht="27" customHeight="1">
      <c r="A6" s="166"/>
      <c r="B6" s="166"/>
      <c r="C6" s="117" t="s">
        <v>7</v>
      </c>
      <c r="D6" s="79" t="s">
        <v>27</v>
      </c>
      <c r="E6" s="79" t="s">
        <v>26</v>
      </c>
      <c r="F6" s="79" t="s">
        <v>25</v>
      </c>
      <c r="G6" s="79" t="s">
        <v>24</v>
      </c>
      <c r="H6" s="79" t="s">
        <v>23</v>
      </c>
      <c r="I6" s="79" t="s">
        <v>22</v>
      </c>
      <c r="J6" s="79" t="s">
        <v>21</v>
      </c>
      <c r="K6" s="79" t="s">
        <v>20</v>
      </c>
      <c r="L6" s="80" t="s">
        <v>19</v>
      </c>
      <c r="M6" s="80" t="s">
        <v>18</v>
      </c>
      <c r="N6" s="80" t="s">
        <v>17</v>
      </c>
      <c r="O6" s="80" t="s">
        <v>2</v>
      </c>
      <c r="P6" s="119"/>
      <c r="Q6" s="119"/>
      <c r="R6" s="119"/>
      <c r="S6" s="119"/>
      <c r="T6" s="119"/>
    </row>
    <row r="7" spans="1:20">
      <c r="A7" s="120">
        <v>24</v>
      </c>
      <c r="B7" s="73" t="s">
        <v>134</v>
      </c>
      <c r="C7" s="72">
        <v>403</v>
      </c>
      <c r="D7" s="72">
        <v>4</v>
      </c>
      <c r="E7" s="72">
        <v>118</v>
      </c>
      <c r="F7" s="75" t="s">
        <v>131</v>
      </c>
      <c r="G7" s="72">
        <v>3</v>
      </c>
      <c r="H7" s="72">
        <v>33</v>
      </c>
      <c r="I7" s="72">
        <v>72</v>
      </c>
      <c r="J7" s="72">
        <v>11</v>
      </c>
      <c r="K7" s="72">
        <v>158</v>
      </c>
      <c r="L7" s="72">
        <v>140</v>
      </c>
      <c r="M7" s="76">
        <v>57</v>
      </c>
      <c r="N7" s="72">
        <v>79</v>
      </c>
      <c r="O7" s="72">
        <v>4</v>
      </c>
      <c r="P7" s="2"/>
      <c r="Q7" s="2"/>
      <c r="R7" s="2"/>
      <c r="S7" s="2"/>
      <c r="T7" s="2"/>
    </row>
    <row r="8" spans="1:20">
      <c r="A8" s="123" t="s">
        <v>1</v>
      </c>
      <c r="B8" s="71" t="s">
        <v>135</v>
      </c>
      <c r="C8" s="70">
        <v>8752</v>
      </c>
      <c r="D8" s="77" t="s">
        <v>227</v>
      </c>
      <c r="E8" s="70">
        <v>3501</v>
      </c>
      <c r="F8" s="77" t="s">
        <v>131</v>
      </c>
      <c r="G8" s="70">
        <v>60</v>
      </c>
      <c r="H8" s="70">
        <v>511</v>
      </c>
      <c r="I8" s="70">
        <v>682</v>
      </c>
      <c r="J8" s="70">
        <v>163</v>
      </c>
      <c r="K8" s="70">
        <v>3175</v>
      </c>
      <c r="L8" s="70">
        <v>2671</v>
      </c>
      <c r="M8" s="70">
        <v>2632</v>
      </c>
      <c r="N8" s="77" t="s">
        <v>131</v>
      </c>
      <c r="O8" s="70">
        <v>39</v>
      </c>
      <c r="P8" s="2"/>
      <c r="Q8" s="2"/>
      <c r="R8" s="2"/>
      <c r="S8" s="2"/>
      <c r="T8" s="2"/>
    </row>
    <row r="9" spans="1:20">
      <c r="A9" s="120">
        <v>25</v>
      </c>
      <c r="B9" s="73" t="s">
        <v>134</v>
      </c>
      <c r="C9" s="72">
        <v>439</v>
      </c>
      <c r="D9" s="72">
        <v>4</v>
      </c>
      <c r="E9" s="72">
        <v>126</v>
      </c>
      <c r="F9" s="75" t="s">
        <v>131</v>
      </c>
      <c r="G9" s="72">
        <v>3</v>
      </c>
      <c r="H9" s="72">
        <v>35</v>
      </c>
      <c r="I9" s="72">
        <v>79</v>
      </c>
      <c r="J9" s="72">
        <v>16</v>
      </c>
      <c r="K9" s="72">
        <v>176</v>
      </c>
      <c r="L9" s="72">
        <v>143</v>
      </c>
      <c r="M9" s="76">
        <v>57</v>
      </c>
      <c r="N9" s="72">
        <v>83</v>
      </c>
      <c r="O9" s="72">
        <v>3</v>
      </c>
      <c r="P9" s="2"/>
      <c r="Q9" s="2"/>
      <c r="R9" s="2"/>
      <c r="S9" s="2"/>
      <c r="T9" s="2"/>
    </row>
    <row r="10" spans="1:20">
      <c r="A10" s="123" t="s">
        <v>1</v>
      </c>
      <c r="B10" s="71" t="s">
        <v>135</v>
      </c>
      <c r="C10" s="70">
        <v>9037</v>
      </c>
      <c r="D10" s="77" t="s">
        <v>227</v>
      </c>
      <c r="E10" s="70">
        <v>3631</v>
      </c>
      <c r="F10" s="77" t="s">
        <v>131</v>
      </c>
      <c r="G10" s="70">
        <v>60</v>
      </c>
      <c r="H10" s="70">
        <v>493</v>
      </c>
      <c r="I10" s="70">
        <v>690</v>
      </c>
      <c r="J10" s="70">
        <v>233</v>
      </c>
      <c r="K10" s="70">
        <v>3395</v>
      </c>
      <c r="L10" s="70">
        <v>2657</v>
      </c>
      <c r="M10" s="70">
        <v>2627</v>
      </c>
      <c r="N10" s="77" t="s">
        <v>131</v>
      </c>
      <c r="O10" s="70">
        <v>30</v>
      </c>
      <c r="P10" s="2"/>
      <c r="Q10" s="2"/>
      <c r="R10" s="2"/>
      <c r="S10" s="2"/>
      <c r="T10" s="2"/>
    </row>
    <row r="11" spans="1:20">
      <c r="A11" s="120">
        <v>26</v>
      </c>
      <c r="B11" s="73" t="s">
        <v>134</v>
      </c>
      <c r="C11" s="72">
        <v>440</v>
      </c>
      <c r="D11" s="72">
        <v>4</v>
      </c>
      <c r="E11" s="72">
        <v>129</v>
      </c>
      <c r="F11" s="75" t="s">
        <v>131</v>
      </c>
      <c r="G11" s="72">
        <v>3</v>
      </c>
      <c r="H11" s="72">
        <v>35</v>
      </c>
      <c r="I11" s="72">
        <v>84</v>
      </c>
      <c r="J11" s="72">
        <v>18</v>
      </c>
      <c r="K11" s="72">
        <v>167</v>
      </c>
      <c r="L11" s="72">
        <v>148</v>
      </c>
      <c r="M11" s="76">
        <v>57</v>
      </c>
      <c r="N11" s="72">
        <v>88</v>
      </c>
      <c r="O11" s="72">
        <v>3</v>
      </c>
      <c r="P11" s="2"/>
      <c r="Q11" s="2"/>
      <c r="R11" s="2"/>
      <c r="S11" s="2"/>
      <c r="T11" s="2"/>
    </row>
    <row r="12" spans="1:20">
      <c r="A12" s="123" t="s">
        <v>1</v>
      </c>
      <c r="B12" s="71" t="s">
        <v>135</v>
      </c>
      <c r="C12" s="70">
        <v>9553</v>
      </c>
      <c r="D12" s="77" t="s">
        <v>228</v>
      </c>
      <c r="E12" s="70">
        <v>3739</v>
      </c>
      <c r="F12" s="77" t="s">
        <v>131</v>
      </c>
      <c r="G12" s="70">
        <v>50</v>
      </c>
      <c r="H12" s="70">
        <v>476</v>
      </c>
      <c r="I12" s="70">
        <v>771</v>
      </c>
      <c r="J12" s="70">
        <v>273</v>
      </c>
      <c r="K12" s="70">
        <v>3705</v>
      </c>
      <c r="L12" s="70">
        <v>4197</v>
      </c>
      <c r="M12" s="70">
        <v>2612</v>
      </c>
      <c r="N12" s="77">
        <v>1540</v>
      </c>
      <c r="O12" s="70">
        <v>30</v>
      </c>
      <c r="P12" s="2"/>
      <c r="Q12" s="2"/>
      <c r="R12" s="2"/>
      <c r="S12" s="2"/>
      <c r="T12" s="2"/>
    </row>
    <row r="13" spans="1:20">
      <c r="A13" s="120">
        <v>27</v>
      </c>
      <c r="B13" s="73" t="s">
        <v>134</v>
      </c>
      <c r="C13" s="72">
        <v>462</v>
      </c>
      <c r="D13" s="72">
        <v>4</v>
      </c>
      <c r="E13" s="72">
        <v>135</v>
      </c>
      <c r="F13" s="75" t="s">
        <v>140</v>
      </c>
      <c r="G13" s="72">
        <v>3</v>
      </c>
      <c r="H13" s="72">
        <v>34</v>
      </c>
      <c r="I13" s="72">
        <v>89</v>
      </c>
      <c r="J13" s="72">
        <v>22</v>
      </c>
      <c r="K13" s="72">
        <v>175</v>
      </c>
      <c r="L13" s="72">
        <v>151</v>
      </c>
      <c r="M13" s="76">
        <v>57</v>
      </c>
      <c r="N13" s="72">
        <v>91</v>
      </c>
      <c r="O13" s="72">
        <v>3</v>
      </c>
      <c r="P13" s="2"/>
      <c r="Q13" s="2"/>
      <c r="R13" s="2"/>
      <c r="S13" s="2"/>
      <c r="T13" s="2"/>
    </row>
    <row r="14" spans="1:20">
      <c r="A14" s="123" t="s">
        <v>1</v>
      </c>
      <c r="B14" s="71" t="s">
        <v>135</v>
      </c>
      <c r="C14" s="70">
        <v>9925</v>
      </c>
      <c r="D14" s="77" t="s">
        <v>229</v>
      </c>
      <c r="E14" s="70">
        <v>3833</v>
      </c>
      <c r="F14" s="77" t="s">
        <v>140</v>
      </c>
      <c r="G14" s="70">
        <v>50</v>
      </c>
      <c r="H14" s="70">
        <v>478</v>
      </c>
      <c r="I14" s="70">
        <v>734</v>
      </c>
      <c r="J14" s="70">
        <v>356</v>
      </c>
      <c r="K14" s="70">
        <v>3931</v>
      </c>
      <c r="L14" s="70">
        <v>4246</v>
      </c>
      <c r="M14" s="70">
        <v>2597</v>
      </c>
      <c r="N14" s="70">
        <v>1619</v>
      </c>
      <c r="O14" s="70">
        <v>30</v>
      </c>
      <c r="P14" s="2"/>
      <c r="Q14" s="2"/>
      <c r="R14" s="2"/>
      <c r="S14" s="2"/>
      <c r="T14" s="2"/>
    </row>
    <row r="15" spans="1:20">
      <c r="A15" s="120">
        <v>28</v>
      </c>
      <c r="B15" s="73" t="s">
        <v>134</v>
      </c>
      <c r="C15" s="72">
        <v>484</v>
      </c>
      <c r="D15" s="72">
        <v>4</v>
      </c>
      <c r="E15" s="72">
        <v>139</v>
      </c>
      <c r="F15" s="75" t="s">
        <v>140</v>
      </c>
      <c r="G15" s="72">
        <v>3</v>
      </c>
      <c r="H15" s="72">
        <v>35</v>
      </c>
      <c r="I15" s="72">
        <v>90</v>
      </c>
      <c r="J15" s="72">
        <v>30</v>
      </c>
      <c r="K15" s="72">
        <v>183</v>
      </c>
      <c r="L15" s="72">
        <v>153</v>
      </c>
      <c r="M15" s="76">
        <v>57</v>
      </c>
      <c r="N15" s="72">
        <v>93</v>
      </c>
      <c r="O15" s="72">
        <v>3</v>
      </c>
      <c r="P15" s="2"/>
      <c r="Q15" s="2"/>
      <c r="R15" s="2"/>
      <c r="S15" s="2"/>
      <c r="T15" s="2"/>
    </row>
    <row r="16" spans="1:20">
      <c r="A16" s="123" t="s">
        <v>1</v>
      </c>
      <c r="B16" s="71" t="s">
        <v>135</v>
      </c>
      <c r="C16" s="70">
        <v>10192</v>
      </c>
      <c r="D16" s="77" t="s">
        <v>155</v>
      </c>
      <c r="E16" s="70">
        <v>3791</v>
      </c>
      <c r="F16" s="77" t="s">
        <v>140</v>
      </c>
      <c r="G16" s="70">
        <v>52</v>
      </c>
      <c r="H16" s="70">
        <v>451</v>
      </c>
      <c r="I16" s="70">
        <v>740</v>
      </c>
      <c r="J16" s="70">
        <v>463</v>
      </c>
      <c r="K16" s="70">
        <v>4148</v>
      </c>
      <c r="L16" s="70">
        <v>4331</v>
      </c>
      <c r="M16" s="70">
        <v>2597</v>
      </c>
      <c r="N16" s="70">
        <v>1704</v>
      </c>
      <c r="O16" s="70">
        <v>30</v>
      </c>
      <c r="P16" s="2"/>
      <c r="Q16" s="2"/>
      <c r="R16" s="2"/>
      <c r="S16" s="2"/>
      <c r="T16" s="2"/>
    </row>
    <row r="17" spans="1:20">
      <c r="A17" s="120">
        <v>29</v>
      </c>
      <c r="B17" s="73" t="s">
        <v>134</v>
      </c>
      <c r="C17" s="72">
        <v>510</v>
      </c>
      <c r="D17" s="72">
        <v>4</v>
      </c>
      <c r="E17" s="72">
        <v>146</v>
      </c>
      <c r="F17" s="75" t="s">
        <v>140</v>
      </c>
      <c r="G17" s="72">
        <v>3</v>
      </c>
      <c r="H17" s="72">
        <v>38</v>
      </c>
      <c r="I17" s="72">
        <v>95</v>
      </c>
      <c r="J17" s="72">
        <v>33</v>
      </c>
      <c r="K17" s="72">
        <v>191</v>
      </c>
      <c r="L17" s="72">
        <v>161</v>
      </c>
      <c r="M17" s="76">
        <v>57</v>
      </c>
      <c r="N17" s="72">
        <v>101</v>
      </c>
      <c r="O17" s="72">
        <v>3</v>
      </c>
      <c r="P17" s="2"/>
      <c r="Q17" s="2"/>
      <c r="R17" s="2"/>
      <c r="S17" s="2"/>
      <c r="T17" s="2"/>
    </row>
    <row r="18" spans="1:20">
      <c r="A18" s="123" t="s">
        <v>1</v>
      </c>
      <c r="B18" s="71" t="s">
        <v>135</v>
      </c>
      <c r="C18" s="70">
        <v>10189</v>
      </c>
      <c r="D18" s="77" t="s">
        <v>156</v>
      </c>
      <c r="E18" s="70">
        <v>4042</v>
      </c>
      <c r="F18" s="77" t="s">
        <v>140</v>
      </c>
      <c r="G18" s="70">
        <v>52</v>
      </c>
      <c r="H18" s="70">
        <v>480</v>
      </c>
      <c r="I18" s="70">
        <v>775</v>
      </c>
      <c r="J18" s="70">
        <v>514</v>
      </c>
      <c r="K18" s="70">
        <v>4326</v>
      </c>
      <c r="L18" s="70">
        <v>4410</v>
      </c>
      <c r="M18" s="70">
        <v>2529</v>
      </c>
      <c r="N18" s="70">
        <v>1851</v>
      </c>
      <c r="O18" s="70">
        <v>30</v>
      </c>
      <c r="P18" s="2"/>
      <c r="Q18" s="2"/>
      <c r="R18" s="2"/>
      <c r="S18" s="2"/>
      <c r="T18" s="2"/>
    </row>
    <row r="19" spans="1:20">
      <c r="A19" s="120">
        <v>30</v>
      </c>
      <c r="B19" s="73" t="s">
        <v>134</v>
      </c>
      <c r="C19" s="72">
        <v>536</v>
      </c>
      <c r="D19" s="72">
        <v>4</v>
      </c>
      <c r="E19" s="72">
        <v>154</v>
      </c>
      <c r="F19" s="75" t="s">
        <v>140</v>
      </c>
      <c r="G19" s="72">
        <v>3</v>
      </c>
      <c r="H19" s="72">
        <v>37</v>
      </c>
      <c r="I19" s="72">
        <v>97</v>
      </c>
      <c r="J19" s="72">
        <v>35</v>
      </c>
      <c r="K19" s="72">
        <v>206</v>
      </c>
      <c r="L19" s="72">
        <v>168</v>
      </c>
      <c r="M19" s="76">
        <v>57</v>
      </c>
      <c r="N19" s="72">
        <v>109</v>
      </c>
      <c r="O19" s="72">
        <v>2</v>
      </c>
      <c r="P19" s="2"/>
      <c r="Q19" s="2"/>
      <c r="R19" s="2"/>
      <c r="S19" s="2"/>
      <c r="T19" s="2"/>
    </row>
    <row r="20" spans="1:20">
      <c r="A20" s="123" t="s">
        <v>1</v>
      </c>
      <c r="B20" s="71" t="s">
        <v>135</v>
      </c>
      <c r="C20" s="70">
        <v>11287</v>
      </c>
      <c r="D20" s="77" t="s">
        <v>159</v>
      </c>
      <c r="E20" s="70">
        <v>4204</v>
      </c>
      <c r="F20" s="77" t="s">
        <v>140</v>
      </c>
      <c r="G20" s="70">
        <v>42</v>
      </c>
      <c r="H20" s="70">
        <v>492</v>
      </c>
      <c r="I20" s="70">
        <v>789</v>
      </c>
      <c r="J20" s="70">
        <v>530</v>
      </c>
      <c r="K20" s="70">
        <v>4676</v>
      </c>
      <c r="L20" s="70">
        <v>4522</v>
      </c>
      <c r="M20" s="70">
        <v>2529</v>
      </c>
      <c r="N20" s="70">
        <v>1973</v>
      </c>
      <c r="O20" s="70">
        <v>20</v>
      </c>
      <c r="P20" s="2"/>
      <c r="Q20" s="2"/>
      <c r="R20" s="2"/>
      <c r="S20" s="2"/>
      <c r="T20" s="2"/>
    </row>
    <row r="21" spans="1:20">
      <c r="A21" s="120" t="s">
        <v>192</v>
      </c>
      <c r="B21" s="73" t="s">
        <v>134</v>
      </c>
      <c r="C21" s="72">
        <v>560</v>
      </c>
      <c r="D21" s="72">
        <v>4</v>
      </c>
      <c r="E21" s="72">
        <v>158</v>
      </c>
      <c r="F21" s="75" t="s">
        <v>140</v>
      </c>
      <c r="G21" s="72">
        <v>3</v>
      </c>
      <c r="H21" s="72">
        <v>36</v>
      </c>
      <c r="I21" s="72">
        <v>98</v>
      </c>
      <c r="J21" s="72">
        <v>42</v>
      </c>
      <c r="K21" s="72">
        <v>219</v>
      </c>
      <c r="L21" s="72">
        <v>178</v>
      </c>
      <c r="M21" s="76">
        <v>58</v>
      </c>
      <c r="N21" s="72">
        <v>119</v>
      </c>
      <c r="O21" s="72">
        <v>1</v>
      </c>
      <c r="P21" s="2"/>
      <c r="Q21" s="2"/>
      <c r="R21" s="2"/>
      <c r="S21" s="2"/>
      <c r="T21" s="2"/>
    </row>
    <row r="22" spans="1:20">
      <c r="A22" s="123" t="s">
        <v>1</v>
      </c>
      <c r="B22" s="71" t="s">
        <v>135</v>
      </c>
      <c r="C22" s="70">
        <v>11770</v>
      </c>
      <c r="D22" s="77" t="s">
        <v>193</v>
      </c>
      <c r="E22" s="70">
        <v>4329</v>
      </c>
      <c r="F22" s="77" t="s">
        <v>140</v>
      </c>
      <c r="G22" s="70">
        <v>36</v>
      </c>
      <c r="H22" s="70">
        <v>463</v>
      </c>
      <c r="I22" s="70">
        <v>737</v>
      </c>
      <c r="J22" s="70">
        <v>647</v>
      </c>
      <c r="K22" s="70">
        <v>5001</v>
      </c>
      <c r="L22" s="70">
        <v>4626</v>
      </c>
      <c r="M22" s="70">
        <v>2547</v>
      </c>
      <c r="N22" s="70">
        <v>2069</v>
      </c>
      <c r="O22" s="70">
        <v>10</v>
      </c>
      <c r="P22" s="2"/>
      <c r="Q22" s="2"/>
      <c r="R22" s="2"/>
      <c r="S22" s="2"/>
      <c r="T22" s="2"/>
    </row>
    <row r="23" spans="1:20">
      <c r="A23" s="120">
        <v>2</v>
      </c>
      <c r="B23" s="73" t="s">
        <v>134</v>
      </c>
      <c r="C23" s="72">
        <v>566</v>
      </c>
      <c r="D23" s="72">
        <v>4</v>
      </c>
      <c r="E23" s="72">
        <v>163</v>
      </c>
      <c r="F23" s="75" t="s">
        <v>140</v>
      </c>
      <c r="G23" s="72">
        <v>3</v>
      </c>
      <c r="H23" s="72">
        <v>36</v>
      </c>
      <c r="I23" s="72">
        <v>91</v>
      </c>
      <c r="J23" s="72">
        <v>44</v>
      </c>
      <c r="K23" s="72">
        <v>225</v>
      </c>
      <c r="L23" s="72">
        <v>192</v>
      </c>
      <c r="M23" s="76">
        <v>58</v>
      </c>
      <c r="N23" s="72">
        <v>133</v>
      </c>
      <c r="O23" s="72">
        <v>1</v>
      </c>
      <c r="P23" s="2"/>
      <c r="Q23" s="2"/>
      <c r="R23" s="2"/>
      <c r="S23" s="2"/>
      <c r="T23" s="2"/>
    </row>
    <row r="24" spans="1:20">
      <c r="A24" s="123" t="s">
        <v>1</v>
      </c>
      <c r="B24" s="71" t="s">
        <v>135</v>
      </c>
      <c r="C24" s="70">
        <v>12052</v>
      </c>
      <c r="D24" s="77" t="s">
        <v>193</v>
      </c>
      <c r="E24" s="70">
        <v>4434</v>
      </c>
      <c r="F24" s="77" t="s">
        <v>140</v>
      </c>
      <c r="G24" s="70">
        <v>33</v>
      </c>
      <c r="H24" s="70">
        <v>427</v>
      </c>
      <c r="I24" s="70">
        <v>691</v>
      </c>
      <c r="J24" s="70">
        <v>704</v>
      </c>
      <c r="K24" s="70">
        <v>5206</v>
      </c>
      <c r="L24" s="70">
        <v>4760</v>
      </c>
      <c r="M24" s="70">
        <v>2543</v>
      </c>
      <c r="N24" s="70">
        <v>2207</v>
      </c>
      <c r="O24" s="70">
        <v>10</v>
      </c>
      <c r="P24" s="2"/>
      <c r="Q24" s="2"/>
      <c r="R24" s="2"/>
      <c r="S24" s="2"/>
      <c r="T24" s="2"/>
    </row>
    <row r="25" spans="1:20">
      <c r="A25" s="120">
        <v>3</v>
      </c>
      <c r="B25" s="73" t="s">
        <v>134</v>
      </c>
      <c r="C25" s="72">
        <v>633</v>
      </c>
      <c r="D25" s="72">
        <v>4</v>
      </c>
      <c r="E25" s="72">
        <v>176</v>
      </c>
      <c r="F25" s="137" t="s">
        <v>140</v>
      </c>
      <c r="G25" s="72">
        <v>3</v>
      </c>
      <c r="H25" s="72">
        <v>36</v>
      </c>
      <c r="I25" s="72">
        <v>100</v>
      </c>
      <c r="J25" s="72">
        <v>46</v>
      </c>
      <c r="K25" s="72">
        <v>268</v>
      </c>
      <c r="L25" s="72">
        <v>207</v>
      </c>
      <c r="M25" s="76">
        <v>59</v>
      </c>
      <c r="N25" s="72">
        <v>148</v>
      </c>
      <c r="O25" s="75" t="s">
        <v>140</v>
      </c>
      <c r="P25" s="2"/>
      <c r="Q25" s="2"/>
      <c r="R25" s="2"/>
      <c r="S25" s="2"/>
      <c r="T25" s="2"/>
    </row>
    <row r="26" spans="1:20">
      <c r="A26" s="123" t="s">
        <v>1</v>
      </c>
      <c r="B26" s="71" t="s">
        <v>135</v>
      </c>
      <c r="C26" s="70">
        <v>12540</v>
      </c>
      <c r="D26" s="77" t="s">
        <v>203</v>
      </c>
      <c r="E26" s="70">
        <v>4539</v>
      </c>
      <c r="F26" s="138" t="s">
        <v>140</v>
      </c>
      <c r="G26" s="70">
        <v>33</v>
      </c>
      <c r="H26" s="70">
        <v>431</v>
      </c>
      <c r="I26" s="70">
        <v>743</v>
      </c>
      <c r="J26" s="70">
        <v>734</v>
      </c>
      <c r="K26" s="70">
        <v>5498</v>
      </c>
      <c r="L26" s="70">
        <v>4960</v>
      </c>
      <c r="M26" s="70">
        <v>2561</v>
      </c>
      <c r="N26" s="70">
        <v>2399</v>
      </c>
      <c r="O26" s="77" t="s">
        <v>140</v>
      </c>
      <c r="P26" s="2"/>
      <c r="Q26" s="2"/>
      <c r="R26" s="2"/>
      <c r="S26" s="2"/>
      <c r="T26" s="2"/>
    </row>
    <row r="27" spans="1:20">
      <c r="A27" s="120">
        <v>4</v>
      </c>
      <c r="B27" s="73" t="s">
        <v>134</v>
      </c>
      <c r="C27" s="72">
        <v>652</v>
      </c>
      <c r="D27" s="72">
        <v>4</v>
      </c>
      <c r="E27" s="72">
        <v>176</v>
      </c>
      <c r="F27" s="137" t="s">
        <v>140</v>
      </c>
      <c r="G27" s="72">
        <v>3</v>
      </c>
      <c r="H27" s="72">
        <v>33</v>
      </c>
      <c r="I27" s="72">
        <v>103</v>
      </c>
      <c r="J27" s="72">
        <v>48</v>
      </c>
      <c r="K27" s="72">
        <v>285</v>
      </c>
      <c r="L27" s="72">
        <v>222</v>
      </c>
      <c r="M27" s="76">
        <v>59</v>
      </c>
      <c r="N27" s="72">
        <v>163</v>
      </c>
      <c r="O27" s="75" t="s">
        <v>140</v>
      </c>
      <c r="P27" s="2"/>
      <c r="Q27" s="2"/>
      <c r="R27" s="2"/>
      <c r="S27" s="2"/>
      <c r="T27" s="2"/>
    </row>
    <row r="28" spans="1:20">
      <c r="A28" s="123" t="s">
        <v>1</v>
      </c>
      <c r="B28" s="71" t="s">
        <v>135</v>
      </c>
      <c r="C28" s="70">
        <v>13017</v>
      </c>
      <c r="D28" s="77" t="s">
        <v>208</v>
      </c>
      <c r="E28" s="70">
        <v>4566</v>
      </c>
      <c r="F28" s="138" t="s">
        <v>140</v>
      </c>
      <c r="G28" s="70">
        <v>33</v>
      </c>
      <c r="H28" s="70">
        <v>409</v>
      </c>
      <c r="I28" s="70">
        <v>799</v>
      </c>
      <c r="J28" s="70">
        <v>781</v>
      </c>
      <c r="K28" s="70">
        <v>5862</v>
      </c>
      <c r="L28" s="70">
        <v>5173</v>
      </c>
      <c r="M28" s="70">
        <v>2561</v>
      </c>
      <c r="N28" s="70">
        <v>2612</v>
      </c>
      <c r="O28" s="77" t="s">
        <v>140</v>
      </c>
      <c r="P28" s="2"/>
      <c r="Q28" s="2"/>
      <c r="R28" s="2"/>
      <c r="S28" s="2"/>
      <c r="T28" s="2"/>
    </row>
    <row r="29" spans="1:20">
      <c r="A29" s="120">
        <v>5</v>
      </c>
      <c r="B29" s="73" t="s">
        <v>134</v>
      </c>
      <c r="C29" s="72">
        <v>670</v>
      </c>
      <c r="D29" s="72">
        <v>4</v>
      </c>
      <c r="E29" s="72">
        <v>181</v>
      </c>
      <c r="F29" s="137" t="s">
        <v>140</v>
      </c>
      <c r="G29" s="72">
        <v>3</v>
      </c>
      <c r="H29" s="72">
        <v>33</v>
      </c>
      <c r="I29" s="72">
        <v>96</v>
      </c>
      <c r="J29" s="72">
        <v>52</v>
      </c>
      <c r="K29" s="72">
        <v>301</v>
      </c>
      <c r="L29" s="72">
        <v>227</v>
      </c>
      <c r="M29" s="76">
        <v>59</v>
      </c>
      <c r="N29" s="72">
        <v>168</v>
      </c>
      <c r="O29" s="75" t="s">
        <v>140</v>
      </c>
      <c r="P29" s="2"/>
      <c r="Q29" s="2"/>
      <c r="R29" s="2"/>
      <c r="S29" s="2"/>
      <c r="T29" s="2"/>
    </row>
    <row r="30" spans="1:20">
      <c r="A30" s="123" t="s">
        <v>1</v>
      </c>
      <c r="B30" s="71" t="s">
        <v>135</v>
      </c>
      <c r="C30" s="70">
        <v>13389</v>
      </c>
      <c r="D30" s="77" t="s">
        <v>219</v>
      </c>
      <c r="E30" s="70">
        <v>4665</v>
      </c>
      <c r="F30" s="138" t="s">
        <v>140</v>
      </c>
      <c r="G30" s="70">
        <v>33</v>
      </c>
      <c r="H30" s="70">
        <v>418</v>
      </c>
      <c r="I30" s="70">
        <v>775</v>
      </c>
      <c r="J30" s="70">
        <v>828</v>
      </c>
      <c r="K30" s="70">
        <v>6103</v>
      </c>
      <c r="L30" s="70">
        <v>5260</v>
      </c>
      <c r="M30" s="70">
        <v>2526</v>
      </c>
      <c r="N30" s="70">
        <v>2734</v>
      </c>
      <c r="O30" s="77" t="s">
        <v>140</v>
      </c>
      <c r="P30" s="2"/>
      <c r="Q30" s="2"/>
      <c r="R30" s="2"/>
      <c r="S30" s="2"/>
      <c r="T30" s="2"/>
    </row>
    <row r="31" spans="1:20">
      <c r="A31" s="236">
        <v>6</v>
      </c>
      <c r="B31" s="229" t="s">
        <v>134</v>
      </c>
      <c r="C31" s="237">
        <f>SUM(D31:K31)</f>
        <v>692</v>
      </c>
      <c r="D31" s="237">
        <v>4</v>
      </c>
      <c r="E31" s="237">
        <v>190</v>
      </c>
      <c r="F31" s="238" t="s">
        <v>140</v>
      </c>
      <c r="G31" s="237">
        <v>3</v>
      </c>
      <c r="H31" s="237">
        <v>34</v>
      </c>
      <c r="I31" s="237">
        <v>84</v>
      </c>
      <c r="J31" s="237">
        <v>51</v>
      </c>
      <c r="K31" s="237">
        <v>326</v>
      </c>
      <c r="L31" s="237">
        <f>SUM(M31:N31)</f>
        <v>237</v>
      </c>
      <c r="M31" s="239">
        <v>58</v>
      </c>
      <c r="N31" s="237">
        <v>179</v>
      </c>
      <c r="O31" s="230" t="s">
        <v>140</v>
      </c>
      <c r="P31" s="2"/>
      <c r="Q31" s="2"/>
      <c r="R31" s="2"/>
      <c r="S31" s="2"/>
      <c r="T31" s="2"/>
    </row>
    <row r="32" spans="1:20">
      <c r="A32" s="231" t="s">
        <v>1</v>
      </c>
      <c r="B32" s="232" t="s">
        <v>135</v>
      </c>
      <c r="C32" s="240">
        <v>13949</v>
      </c>
      <c r="D32" s="233" t="s">
        <v>226</v>
      </c>
      <c r="E32" s="240">
        <v>4769</v>
      </c>
      <c r="F32" s="241" t="s">
        <v>140</v>
      </c>
      <c r="G32" s="240">
        <v>33</v>
      </c>
      <c r="H32" s="240">
        <v>398</v>
      </c>
      <c r="I32" s="240">
        <v>764</v>
      </c>
      <c r="J32" s="240">
        <v>822</v>
      </c>
      <c r="K32" s="240">
        <v>6596</v>
      </c>
      <c r="L32" s="240">
        <f>SUM(M32:N32)</f>
        <v>5492</v>
      </c>
      <c r="M32" s="240">
        <v>2451</v>
      </c>
      <c r="N32" s="240">
        <v>3041</v>
      </c>
      <c r="O32" s="233" t="s">
        <v>140</v>
      </c>
      <c r="P32" s="2"/>
      <c r="Q32" s="2"/>
      <c r="R32" s="2"/>
      <c r="S32" s="2"/>
      <c r="T32" s="2"/>
    </row>
    <row r="33" spans="1:18">
      <c r="A33" s="234" t="s">
        <v>16</v>
      </c>
      <c r="B33" s="234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"/>
      <c r="Q33" s="2"/>
      <c r="R33" s="2"/>
    </row>
    <row r="34" spans="1:18">
      <c r="A34" s="1" t="s">
        <v>233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A35" s="1" t="s">
        <v>132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A37" s="158"/>
      <c r="B37" s="159"/>
      <c r="C37" s="162" t="s">
        <v>15</v>
      </c>
      <c r="D37" s="163"/>
      <c r="E37" s="163"/>
      <c r="F37" s="163"/>
      <c r="G37" s="163"/>
      <c r="H37" s="163"/>
      <c r="I37" s="164"/>
      <c r="J37" s="165" t="s">
        <v>14</v>
      </c>
      <c r="K37" s="165"/>
      <c r="L37" s="165"/>
      <c r="M37" s="165"/>
      <c r="N37" s="165"/>
      <c r="O37" s="165"/>
      <c r="P37" s="3"/>
      <c r="Q37" s="2"/>
      <c r="R37" s="2"/>
    </row>
    <row r="38" spans="1:18" ht="21.4">
      <c r="A38" s="160"/>
      <c r="B38" s="161"/>
      <c r="C38" s="132" t="s">
        <v>7</v>
      </c>
      <c r="D38" s="79" t="s">
        <v>13</v>
      </c>
      <c r="E38" s="79" t="s">
        <v>12</v>
      </c>
      <c r="F38" s="79" t="s">
        <v>11</v>
      </c>
      <c r="G38" s="79" t="s">
        <v>10</v>
      </c>
      <c r="H38" s="79" t="s">
        <v>9</v>
      </c>
      <c r="I38" s="132" t="s">
        <v>8</v>
      </c>
      <c r="J38" s="118" t="s">
        <v>7</v>
      </c>
      <c r="K38" s="79" t="s">
        <v>6</v>
      </c>
      <c r="L38" s="79" t="s">
        <v>5</v>
      </c>
      <c r="M38" s="79" t="s">
        <v>4</v>
      </c>
      <c r="N38" s="79" t="s">
        <v>3</v>
      </c>
      <c r="O38" s="79" t="s">
        <v>2</v>
      </c>
      <c r="P38" s="119"/>
    </row>
    <row r="39" spans="1:18">
      <c r="A39" s="120">
        <v>20</v>
      </c>
      <c r="B39" s="73" t="s">
        <v>134</v>
      </c>
      <c r="C39" s="72">
        <v>104</v>
      </c>
      <c r="D39" s="72">
        <v>35</v>
      </c>
      <c r="E39" s="72">
        <v>4</v>
      </c>
      <c r="F39" s="72">
        <v>1</v>
      </c>
      <c r="G39" s="72">
        <v>32</v>
      </c>
      <c r="H39" s="72">
        <v>1</v>
      </c>
      <c r="I39" s="72">
        <v>1</v>
      </c>
      <c r="J39" s="81">
        <v>30</v>
      </c>
      <c r="K39" s="72">
        <v>2</v>
      </c>
      <c r="L39" s="72">
        <v>17</v>
      </c>
      <c r="M39" s="72">
        <v>7</v>
      </c>
      <c r="N39" s="72">
        <v>2</v>
      </c>
      <c r="O39" s="72">
        <v>2</v>
      </c>
      <c r="P39" s="2"/>
    </row>
    <row r="40" spans="1:18">
      <c r="A40" s="123" t="s">
        <v>1</v>
      </c>
      <c r="B40" s="71" t="s">
        <v>135</v>
      </c>
      <c r="C40" s="70">
        <v>4335</v>
      </c>
      <c r="D40" s="70">
        <v>1910</v>
      </c>
      <c r="E40" s="70">
        <v>286</v>
      </c>
      <c r="F40" s="70">
        <v>100</v>
      </c>
      <c r="G40" s="70">
        <v>1169</v>
      </c>
      <c r="H40" s="70">
        <v>19</v>
      </c>
      <c r="I40" s="70">
        <v>30</v>
      </c>
      <c r="J40" s="70">
        <v>821</v>
      </c>
      <c r="K40" s="70">
        <v>83</v>
      </c>
      <c r="L40" s="70">
        <v>493</v>
      </c>
      <c r="M40" s="70">
        <v>190</v>
      </c>
      <c r="N40" s="70">
        <v>35</v>
      </c>
      <c r="O40" s="70">
        <v>20</v>
      </c>
      <c r="P40" s="2"/>
    </row>
    <row r="41" spans="1:18">
      <c r="A41" s="120">
        <v>21</v>
      </c>
      <c r="B41" s="73" t="s">
        <v>134</v>
      </c>
      <c r="C41" s="72">
        <v>91</v>
      </c>
      <c r="D41" s="72">
        <v>33</v>
      </c>
      <c r="E41" s="72">
        <v>4</v>
      </c>
      <c r="F41" s="72">
        <v>1</v>
      </c>
      <c r="G41" s="72">
        <v>23</v>
      </c>
      <c r="H41" s="72">
        <v>0</v>
      </c>
      <c r="I41" s="72">
        <v>1</v>
      </c>
      <c r="J41" s="81">
        <v>29</v>
      </c>
      <c r="K41" s="72">
        <v>2</v>
      </c>
      <c r="L41" s="72">
        <v>16</v>
      </c>
      <c r="M41" s="72">
        <v>7</v>
      </c>
      <c r="N41" s="72">
        <v>2</v>
      </c>
      <c r="O41" s="72">
        <v>2</v>
      </c>
      <c r="P41" s="2"/>
    </row>
    <row r="42" spans="1:18">
      <c r="A42" s="123" t="s">
        <v>1</v>
      </c>
      <c r="B42" s="71" t="s">
        <v>135</v>
      </c>
      <c r="C42" s="70">
        <v>3817</v>
      </c>
      <c r="D42" s="70">
        <v>1810</v>
      </c>
      <c r="E42" s="70">
        <v>286</v>
      </c>
      <c r="F42" s="70">
        <v>100</v>
      </c>
      <c r="G42" s="70">
        <v>817</v>
      </c>
      <c r="H42" s="70">
        <v>0</v>
      </c>
      <c r="I42" s="70">
        <v>30</v>
      </c>
      <c r="J42" s="70">
        <v>774</v>
      </c>
      <c r="K42" s="70">
        <v>83</v>
      </c>
      <c r="L42" s="70">
        <v>443</v>
      </c>
      <c r="M42" s="70">
        <v>190</v>
      </c>
      <c r="N42" s="70">
        <v>38</v>
      </c>
      <c r="O42" s="70">
        <v>20</v>
      </c>
      <c r="P42" s="2"/>
    </row>
    <row r="43" spans="1:18">
      <c r="A43" s="120">
        <v>22</v>
      </c>
      <c r="B43" s="73" t="s">
        <v>134</v>
      </c>
      <c r="C43" s="72">
        <v>67</v>
      </c>
      <c r="D43" s="72">
        <v>24</v>
      </c>
      <c r="E43" s="72">
        <v>2</v>
      </c>
      <c r="F43" s="72">
        <v>1</v>
      </c>
      <c r="G43" s="72">
        <v>17</v>
      </c>
      <c r="H43" s="72">
        <v>0</v>
      </c>
      <c r="I43" s="72">
        <v>1</v>
      </c>
      <c r="J43" s="81">
        <v>22</v>
      </c>
      <c r="K43" s="72">
        <v>2</v>
      </c>
      <c r="L43" s="72">
        <v>10</v>
      </c>
      <c r="M43" s="72">
        <v>7</v>
      </c>
      <c r="N43" s="72">
        <v>1</v>
      </c>
      <c r="O43" s="72">
        <v>2</v>
      </c>
      <c r="P43" s="2"/>
    </row>
    <row r="44" spans="1:18">
      <c r="A44" s="123" t="s">
        <v>1</v>
      </c>
      <c r="B44" s="71" t="s">
        <v>135</v>
      </c>
      <c r="C44" s="70">
        <v>2836</v>
      </c>
      <c r="D44" s="70">
        <v>1295</v>
      </c>
      <c r="E44" s="70">
        <v>147</v>
      </c>
      <c r="F44" s="70">
        <v>100</v>
      </c>
      <c r="G44" s="70">
        <v>672</v>
      </c>
      <c r="H44" s="70">
        <v>0</v>
      </c>
      <c r="I44" s="70">
        <v>30</v>
      </c>
      <c r="J44" s="70">
        <v>592</v>
      </c>
      <c r="K44" s="70">
        <v>83</v>
      </c>
      <c r="L44" s="70">
        <v>280</v>
      </c>
      <c r="M44" s="70">
        <v>190</v>
      </c>
      <c r="N44" s="70">
        <v>19</v>
      </c>
      <c r="O44" s="70">
        <v>20</v>
      </c>
      <c r="P44" s="2"/>
    </row>
    <row r="45" spans="1:18">
      <c r="A45" s="120">
        <v>23</v>
      </c>
      <c r="B45" s="73" t="s">
        <v>134</v>
      </c>
      <c r="C45" s="72">
        <v>31</v>
      </c>
      <c r="D45" s="72">
        <v>11</v>
      </c>
      <c r="E45" s="72">
        <v>1</v>
      </c>
      <c r="F45" s="72">
        <v>1</v>
      </c>
      <c r="G45" s="72">
        <v>9</v>
      </c>
      <c r="H45" s="72">
        <v>0</v>
      </c>
      <c r="I45" s="72">
        <v>1</v>
      </c>
      <c r="J45" s="81">
        <v>8</v>
      </c>
      <c r="K45" s="72">
        <v>2</v>
      </c>
      <c r="L45" s="72">
        <v>2</v>
      </c>
      <c r="M45" s="72">
        <v>3</v>
      </c>
      <c r="N45" s="72">
        <v>1</v>
      </c>
      <c r="O45" s="72">
        <v>0</v>
      </c>
      <c r="P45" s="2"/>
    </row>
    <row r="46" spans="1:18">
      <c r="A46" s="123" t="s">
        <v>1</v>
      </c>
      <c r="B46" s="71" t="s">
        <v>135</v>
      </c>
      <c r="C46" s="70">
        <v>1339</v>
      </c>
      <c r="D46" s="70">
        <v>600</v>
      </c>
      <c r="E46" s="70">
        <v>79</v>
      </c>
      <c r="F46" s="70">
        <v>100</v>
      </c>
      <c r="G46" s="70">
        <v>318</v>
      </c>
      <c r="H46" s="70">
        <v>0</v>
      </c>
      <c r="I46" s="70">
        <v>30</v>
      </c>
      <c r="J46" s="70">
        <v>212</v>
      </c>
      <c r="K46" s="70">
        <v>83</v>
      </c>
      <c r="L46" s="70">
        <v>40</v>
      </c>
      <c r="M46" s="70">
        <v>70</v>
      </c>
      <c r="N46" s="70">
        <v>19</v>
      </c>
      <c r="O46" s="70">
        <v>0</v>
      </c>
      <c r="P46" s="2"/>
    </row>
    <row r="47" spans="1:18">
      <c r="A47" s="1" t="s">
        <v>0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A48" s="1" t="s">
        <v>160</v>
      </c>
    </row>
  </sheetData>
  <mergeCells count="8">
    <mergeCell ref="P5:Q5"/>
    <mergeCell ref="A37:B38"/>
    <mergeCell ref="C37:I37"/>
    <mergeCell ref="J37:O37"/>
    <mergeCell ref="A4:B6"/>
    <mergeCell ref="C4:O4"/>
    <mergeCell ref="C5:K5"/>
    <mergeCell ref="L5:O5"/>
  </mergeCells>
  <phoneticPr fontId="2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4B10E-427A-42F4-A581-78C69AD00346}">
  <dimension ref="A1:J21"/>
  <sheetViews>
    <sheetView showGridLines="0" zoomScale="145" zoomScaleNormal="145" zoomScaleSheetLayoutView="150" workbookViewId="0">
      <selection activeCell="E27" sqref="E27"/>
    </sheetView>
  </sheetViews>
  <sheetFormatPr defaultColWidth="11.625" defaultRowHeight="7.15"/>
  <cols>
    <col min="1" max="11" width="6.25" style="1" customWidth="1"/>
    <col min="12" max="16384" width="11.625" style="1"/>
  </cols>
  <sheetData>
    <row r="1" spans="1:10" s="4" customFormat="1" ht="30" customHeight="1">
      <c r="A1" s="25" t="s">
        <v>161</v>
      </c>
    </row>
    <row r="3" spans="1:10">
      <c r="A3" s="166"/>
      <c r="B3" s="166"/>
      <c r="C3" s="166" t="s">
        <v>42</v>
      </c>
      <c r="D3" s="166"/>
      <c r="E3" s="166"/>
      <c r="F3" s="166"/>
      <c r="G3" s="166"/>
      <c r="H3" s="166"/>
      <c r="I3" s="166"/>
      <c r="J3" s="166"/>
    </row>
    <row r="4" spans="1:10">
      <c r="A4" s="166"/>
      <c r="B4" s="166"/>
      <c r="C4" s="165" t="s">
        <v>43</v>
      </c>
      <c r="D4" s="165"/>
      <c r="E4" s="165"/>
      <c r="F4" s="165" t="s">
        <v>44</v>
      </c>
      <c r="G4" s="165"/>
      <c r="H4" s="165"/>
      <c r="I4" s="165"/>
      <c r="J4" s="165"/>
    </row>
    <row r="5" spans="1:10" ht="28.5">
      <c r="A5" s="166"/>
      <c r="B5" s="166"/>
      <c r="C5" s="117" t="s">
        <v>7</v>
      </c>
      <c r="D5" s="79" t="s">
        <v>45</v>
      </c>
      <c r="E5" s="79" t="s">
        <v>46</v>
      </c>
      <c r="F5" s="79" t="s">
        <v>47</v>
      </c>
      <c r="G5" s="79" t="s">
        <v>48</v>
      </c>
      <c r="H5" s="79" t="s">
        <v>49</v>
      </c>
      <c r="I5" s="79" t="s">
        <v>50</v>
      </c>
      <c r="J5" s="79" t="s">
        <v>51</v>
      </c>
    </row>
    <row r="6" spans="1:10">
      <c r="A6" s="120">
        <v>30</v>
      </c>
      <c r="B6" s="73" t="s">
        <v>134</v>
      </c>
      <c r="C6" s="72">
        <v>10</v>
      </c>
      <c r="D6" s="72">
        <v>8</v>
      </c>
      <c r="E6" s="72">
        <v>2</v>
      </c>
      <c r="F6" s="72">
        <v>131</v>
      </c>
      <c r="G6" s="72">
        <v>5</v>
      </c>
      <c r="H6" s="72">
        <v>1</v>
      </c>
      <c r="I6" s="72">
        <v>42</v>
      </c>
      <c r="J6" s="72">
        <v>105</v>
      </c>
    </row>
    <row r="7" spans="1:10">
      <c r="A7" s="123" t="s">
        <v>153</v>
      </c>
      <c r="B7" s="71" t="s">
        <v>135</v>
      </c>
      <c r="C7" s="70">
        <v>346</v>
      </c>
      <c r="D7" s="70">
        <v>156</v>
      </c>
      <c r="E7" s="70">
        <v>190</v>
      </c>
      <c r="F7" s="70">
        <v>1564</v>
      </c>
      <c r="G7" s="70">
        <v>132</v>
      </c>
      <c r="H7" s="70">
        <v>38</v>
      </c>
      <c r="I7" s="70">
        <v>539</v>
      </c>
      <c r="J7" s="70">
        <v>1063</v>
      </c>
    </row>
    <row r="8" spans="1:10">
      <c r="A8" s="120" t="s">
        <v>209</v>
      </c>
      <c r="B8" s="73" t="s">
        <v>134</v>
      </c>
      <c r="C8" s="72">
        <v>10</v>
      </c>
      <c r="D8" s="72">
        <v>8</v>
      </c>
      <c r="E8" s="72">
        <v>2</v>
      </c>
      <c r="F8" s="72">
        <v>153</v>
      </c>
      <c r="G8" s="72">
        <v>5</v>
      </c>
      <c r="H8" s="72">
        <v>1</v>
      </c>
      <c r="I8" s="72">
        <v>54</v>
      </c>
      <c r="J8" s="72">
        <v>127</v>
      </c>
    </row>
    <row r="9" spans="1:10">
      <c r="A9" s="123" t="s">
        <v>153</v>
      </c>
      <c r="B9" s="71" t="s">
        <v>135</v>
      </c>
      <c r="C9" s="70">
        <v>345</v>
      </c>
      <c r="D9" s="70">
        <v>155</v>
      </c>
      <c r="E9" s="70">
        <v>190</v>
      </c>
      <c r="F9" s="70">
        <v>1772</v>
      </c>
      <c r="G9" s="70">
        <v>132</v>
      </c>
      <c r="H9" s="70">
        <v>38</v>
      </c>
      <c r="I9" s="70">
        <v>709</v>
      </c>
      <c r="J9" s="70">
        <v>1357</v>
      </c>
    </row>
    <row r="10" spans="1:10">
      <c r="A10" s="120">
        <v>2</v>
      </c>
      <c r="B10" s="73" t="s">
        <v>134</v>
      </c>
      <c r="C10" s="72">
        <v>10</v>
      </c>
      <c r="D10" s="72">
        <v>8</v>
      </c>
      <c r="E10" s="72">
        <v>2</v>
      </c>
      <c r="F10" s="72">
        <v>187</v>
      </c>
      <c r="G10" s="72">
        <v>6</v>
      </c>
      <c r="H10" s="72">
        <v>1</v>
      </c>
      <c r="I10" s="72">
        <v>61</v>
      </c>
      <c r="J10" s="72">
        <v>144</v>
      </c>
    </row>
    <row r="11" spans="1:10">
      <c r="A11" s="123" t="s">
        <v>153</v>
      </c>
      <c r="B11" s="71" t="s">
        <v>135</v>
      </c>
      <c r="C11" s="70">
        <v>330</v>
      </c>
      <c r="D11" s="70">
        <v>140</v>
      </c>
      <c r="E11" s="70">
        <v>190</v>
      </c>
      <c r="F11" s="70">
        <v>2236</v>
      </c>
      <c r="G11" s="70">
        <v>142</v>
      </c>
      <c r="H11" s="70">
        <v>45</v>
      </c>
      <c r="I11" s="70">
        <v>764</v>
      </c>
      <c r="J11" s="70">
        <v>1598</v>
      </c>
    </row>
    <row r="12" spans="1:10">
      <c r="A12" s="120">
        <v>3</v>
      </c>
      <c r="B12" s="73" t="s">
        <v>134</v>
      </c>
      <c r="C12" s="72">
        <v>10</v>
      </c>
      <c r="D12" s="72">
        <v>8</v>
      </c>
      <c r="E12" s="72">
        <v>2</v>
      </c>
      <c r="F12" s="72">
        <f t="shared" ref="F12:F15" si="0">SUM(G12:J12)</f>
        <v>253</v>
      </c>
      <c r="G12" s="72">
        <v>7</v>
      </c>
      <c r="H12" s="72">
        <v>1</v>
      </c>
      <c r="I12" s="72">
        <v>68</v>
      </c>
      <c r="J12" s="72">
        <v>177</v>
      </c>
    </row>
    <row r="13" spans="1:10">
      <c r="A13" s="123" t="s">
        <v>153</v>
      </c>
      <c r="B13" s="71" t="s">
        <v>135</v>
      </c>
      <c r="C13" s="70">
        <f>SUM(D13:E13)</f>
        <v>330</v>
      </c>
      <c r="D13" s="70">
        <v>140</v>
      </c>
      <c r="E13" s="70">
        <v>190</v>
      </c>
      <c r="F13" s="70">
        <f t="shared" si="0"/>
        <v>3019</v>
      </c>
      <c r="G13" s="70">
        <v>162</v>
      </c>
      <c r="H13" s="70">
        <v>45</v>
      </c>
      <c r="I13" s="70">
        <v>868</v>
      </c>
      <c r="J13" s="70">
        <v>1944</v>
      </c>
    </row>
    <row r="14" spans="1:10">
      <c r="A14" s="120">
        <v>4</v>
      </c>
      <c r="B14" s="73" t="s">
        <v>134</v>
      </c>
      <c r="C14" s="72">
        <v>10</v>
      </c>
      <c r="D14" s="72">
        <v>8</v>
      </c>
      <c r="E14" s="72">
        <v>2</v>
      </c>
      <c r="F14" s="72">
        <f t="shared" si="0"/>
        <v>309</v>
      </c>
      <c r="G14" s="72">
        <v>7</v>
      </c>
      <c r="H14" s="72">
        <v>1</v>
      </c>
      <c r="I14" s="72">
        <v>85</v>
      </c>
      <c r="J14" s="72">
        <v>216</v>
      </c>
    </row>
    <row r="15" spans="1:10">
      <c r="A15" s="123" t="s">
        <v>153</v>
      </c>
      <c r="B15" s="71" t="s">
        <v>135</v>
      </c>
      <c r="C15" s="70">
        <f>SUM(D15:E15)</f>
        <v>318</v>
      </c>
      <c r="D15" s="70">
        <v>128</v>
      </c>
      <c r="E15" s="70">
        <v>190</v>
      </c>
      <c r="F15" s="70">
        <f t="shared" si="0"/>
        <v>3465</v>
      </c>
      <c r="G15" s="70">
        <v>162</v>
      </c>
      <c r="H15" s="70">
        <v>45</v>
      </c>
      <c r="I15" s="70">
        <v>1013</v>
      </c>
      <c r="J15" s="70">
        <v>2245</v>
      </c>
    </row>
    <row r="16" spans="1:10">
      <c r="A16" s="120">
        <v>5</v>
      </c>
      <c r="B16" s="73" t="s">
        <v>134</v>
      </c>
      <c r="C16" s="72">
        <v>10</v>
      </c>
      <c r="D16" s="72">
        <v>8</v>
      </c>
      <c r="E16" s="72">
        <v>2</v>
      </c>
      <c r="F16" s="72">
        <f>SUM(G16:J16)</f>
        <v>335</v>
      </c>
      <c r="G16" s="72">
        <v>8</v>
      </c>
      <c r="H16" s="72">
        <v>1</v>
      </c>
      <c r="I16" s="72">
        <v>96</v>
      </c>
      <c r="J16" s="72">
        <v>230</v>
      </c>
    </row>
    <row r="17" spans="1:10">
      <c r="A17" s="123" t="s">
        <v>153</v>
      </c>
      <c r="B17" s="71" t="s">
        <v>135</v>
      </c>
      <c r="C17" s="70">
        <f>SUM(D17:E17)</f>
        <v>318</v>
      </c>
      <c r="D17" s="70">
        <v>128</v>
      </c>
      <c r="E17" s="70">
        <v>190</v>
      </c>
      <c r="F17" s="70">
        <f>SUM(G17:J17)</f>
        <v>3689</v>
      </c>
      <c r="G17" s="70">
        <v>180</v>
      </c>
      <c r="H17" s="70">
        <v>45</v>
      </c>
      <c r="I17" s="70">
        <v>1096</v>
      </c>
      <c r="J17" s="70">
        <v>2368</v>
      </c>
    </row>
    <row r="18" spans="1:10">
      <c r="A18" s="236">
        <v>6</v>
      </c>
      <c r="B18" s="229" t="s">
        <v>134</v>
      </c>
      <c r="C18" s="237">
        <f>SUM(D18:E18)</f>
        <v>10</v>
      </c>
      <c r="D18" s="237">
        <v>8</v>
      </c>
      <c r="E18" s="237">
        <v>2</v>
      </c>
      <c r="F18" s="237">
        <f>SUM(G18:J18)</f>
        <v>361</v>
      </c>
      <c r="G18" s="237">
        <v>9</v>
      </c>
      <c r="H18" s="230" t="s">
        <v>131</v>
      </c>
      <c r="I18" s="237">
        <v>114</v>
      </c>
      <c r="J18" s="237">
        <v>238</v>
      </c>
    </row>
    <row r="19" spans="1:10">
      <c r="A19" s="231" t="s">
        <v>153</v>
      </c>
      <c r="B19" s="232" t="s">
        <v>135</v>
      </c>
      <c r="C19" s="240">
        <f>SUM(D19:E19)</f>
        <v>318</v>
      </c>
      <c r="D19" s="240">
        <v>128</v>
      </c>
      <c r="E19" s="240">
        <v>190</v>
      </c>
      <c r="F19" s="240">
        <f>SUM(G19:J19)</f>
        <v>3948</v>
      </c>
      <c r="G19" s="240">
        <v>229</v>
      </c>
      <c r="H19" s="233" t="s">
        <v>131</v>
      </c>
      <c r="I19" s="240">
        <v>1231</v>
      </c>
      <c r="J19" s="240">
        <v>2488</v>
      </c>
    </row>
    <row r="20" spans="1:10">
      <c r="A20" s="234" t="s">
        <v>162</v>
      </c>
      <c r="B20" s="242"/>
      <c r="C20" s="235"/>
      <c r="D20" s="235"/>
      <c r="E20" s="235"/>
      <c r="F20" s="235"/>
      <c r="G20" s="235"/>
      <c r="H20" s="235"/>
      <c r="I20" s="235"/>
      <c r="J20" s="235"/>
    </row>
    <row r="21" spans="1:10">
      <c r="A21" s="234" t="s">
        <v>230</v>
      </c>
      <c r="B21" s="234"/>
      <c r="C21" s="235"/>
      <c r="D21" s="235"/>
      <c r="E21" s="235"/>
      <c r="F21" s="235"/>
      <c r="G21" s="235"/>
      <c r="H21" s="235"/>
      <c r="I21" s="234"/>
      <c r="J21" s="234"/>
    </row>
  </sheetData>
  <mergeCells count="4">
    <mergeCell ref="A3:B5"/>
    <mergeCell ref="C3:J3"/>
    <mergeCell ref="C4:E4"/>
    <mergeCell ref="F4:J4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175D9-9595-483E-AD64-C13C6552090C}">
  <dimension ref="A1:I23"/>
  <sheetViews>
    <sheetView showGridLines="0" zoomScale="190" zoomScaleNormal="190" zoomScaleSheetLayoutView="150" workbookViewId="0">
      <selection activeCell="D23" sqref="D23"/>
    </sheetView>
  </sheetViews>
  <sheetFormatPr defaultColWidth="11.625" defaultRowHeight="7.15"/>
  <cols>
    <col min="1" max="11" width="6.25" style="1" customWidth="1"/>
    <col min="12" max="16384" width="11.625" style="1"/>
  </cols>
  <sheetData>
    <row r="1" spans="1:9" s="4" customFormat="1" ht="30" customHeight="1">
      <c r="A1" s="25" t="s">
        <v>163</v>
      </c>
    </row>
    <row r="3" spans="1:9">
      <c r="A3" s="121"/>
      <c r="B3" s="150" t="s">
        <v>52</v>
      </c>
      <c r="C3" s="151"/>
      <c r="D3" s="150"/>
      <c r="E3" s="151"/>
      <c r="F3" s="150" t="s">
        <v>53</v>
      </c>
      <c r="G3" s="151"/>
      <c r="H3" s="150" t="s">
        <v>146</v>
      </c>
      <c r="I3" s="154"/>
    </row>
    <row r="4" spans="1:9">
      <c r="A4" s="122" t="s">
        <v>136</v>
      </c>
      <c r="B4" s="152"/>
      <c r="C4" s="153"/>
      <c r="D4" s="152" t="s">
        <v>54</v>
      </c>
      <c r="E4" s="153"/>
      <c r="F4" s="152"/>
      <c r="G4" s="153"/>
      <c r="H4" s="152" t="s">
        <v>147</v>
      </c>
      <c r="I4" s="155"/>
    </row>
    <row r="5" spans="1:9">
      <c r="A5" s="124"/>
      <c r="B5" s="147" t="s">
        <v>148</v>
      </c>
      <c r="C5" s="148"/>
      <c r="D5" s="147"/>
      <c r="E5" s="148"/>
      <c r="F5" s="147" t="s">
        <v>149</v>
      </c>
      <c r="G5" s="148"/>
      <c r="H5" s="147" t="s">
        <v>150</v>
      </c>
      <c r="I5" s="149"/>
    </row>
    <row r="6" spans="1:9">
      <c r="A6" s="69" t="s">
        <v>55</v>
      </c>
      <c r="B6" s="144">
        <v>42218</v>
      </c>
      <c r="C6" s="145"/>
      <c r="D6" s="144">
        <v>796786</v>
      </c>
      <c r="E6" s="145"/>
      <c r="F6" s="144">
        <v>2754110622</v>
      </c>
      <c r="G6" s="145"/>
      <c r="H6" s="144">
        <v>3456</v>
      </c>
      <c r="I6" s="146"/>
    </row>
    <row r="7" spans="1:9">
      <c r="A7" s="69" t="s">
        <v>56</v>
      </c>
      <c r="B7" s="144">
        <v>42109</v>
      </c>
      <c r="C7" s="145"/>
      <c r="D7" s="144">
        <v>794619</v>
      </c>
      <c r="E7" s="145"/>
      <c r="F7" s="144">
        <v>2772362707</v>
      </c>
      <c r="G7" s="145"/>
      <c r="H7" s="144">
        <v>3488</v>
      </c>
      <c r="I7" s="146"/>
    </row>
    <row r="8" spans="1:9">
      <c r="A8" s="69" t="s">
        <v>57</v>
      </c>
      <c r="B8" s="144">
        <v>42336</v>
      </c>
      <c r="C8" s="145"/>
      <c r="D8" s="144">
        <v>816333</v>
      </c>
      <c r="E8" s="145"/>
      <c r="F8" s="144">
        <v>2751323893</v>
      </c>
      <c r="G8" s="145"/>
      <c r="H8" s="144">
        <v>3370</v>
      </c>
      <c r="I8" s="146"/>
    </row>
    <row r="9" spans="1:9">
      <c r="A9" s="69" t="s">
        <v>58</v>
      </c>
      <c r="B9" s="144">
        <v>42383</v>
      </c>
      <c r="C9" s="145"/>
      <c r="D9" s="144">
        <v>828817</v>
      </c>
      <c r="E9" s="145"/>
      <c r="F9" s="144">
        <v>2817173096</v>
      </c>
      <c r="G9" s="145"/>
      <c r="H9" s="144">
        <v>3399</v>
      </c>
      <c r="I9" s="146"/>
    </row>
    <row r="10" spans="1:9">
      <c r="A10" s="69" t="s">
        <v>133</v>
      </c>
      <c r="B10" s="144">
        <v>41792</v>
      </c>
      <c r="C10" s="145"/>
      <c r="D10" s="144">
        <v>833149</v>
      </c>
      <c r="E10" s="145"/>
      <c r="F10" s="144">
        <v>2795051210</v>
      </c>
      <c r="G10" s="145"/>
      <c r="H10" s="144">
        <v>3354</v>
      </c>
      <c r="I10" s="146"/>
    </row>
    <row r="11" spans="1:9">
      <c r="A11" s="69" t="s">
        <v>137</v>
      </c>
      <c r="B11" s="144">
        <v>41118</v>
      </c>
      <c r="C11" s="145"/>
      <c r="D11" s="144">
        <v>844951</v>
      </c>
      <c r="E11" s="145"/>
      <c r="F11" s="144">
        <v>2816314540</v>
      </c>
      <c r="G11" s="145"/>
      <c r="H11" s="144">
        <v>3333</v>
      </c>
      <c r="I11" s="146"/>
    </row>
    <row r="12" spans="1:9">
      <c r="A12" s="69" t="s">
        <v>145</v>
      </c>
      <c r="B12" s="144">
        <v>40698</v>
      </c>
      <c r="C12" s="145"/>
      <c r="D12" s="144">
        <v>835616</v>
      </c>
      <c r="E12" s="145"/>
      <c r="F12" s="144">
        <v>2729348760</v>
      </c>
      <c r="G12" s="145"/>
      <c r="H12" s="144">
        <v>3266</v>
      </c>
      <c r="I12" s="146"/>
    </row>
    <row r="13" spans="1:9">
      <c r="A13" s="69" t="s">
        <v>152</v>
      </c>
      <c r="B13" s="144">
        <v>40641</v>
      </c>
      <c r="C13" s="145"/>
      <c r="D13" s="144">
        <v>828835</v>
      </c>
      <c r="E13" s="145"/>
      <c r="F13" s="144">
        <v>2806318467</v>
      </c>
      <c r="G13" s="145"/>
      <c r="H13" s="144">
        <v>3385</v>
      </c>
      <c r="I13" s="146"/>
    </row>
    <row r="14" spans="1:9">
      <c r="A14" s="69" t="s">
        <v>164</v>
      </c>
      <c r="B14" s="144">
        <v>40155</v>
      </c>
      <c r="C14" s="145"/>
      <c r="D14" s="144">
        <v>833910</v>
      </c>
      <c r="E14" s="145"/>
      <c r="F14" s="144">
        <v>2838499160</v>
      </c>
      <c r="G14" s="145"/>
      <c r="H14" s="144">
        <v>3403</v>
      </c>
      <c r="I14" s="146"/>
    </row>
    <row r="15" spans="1:9">
      <c r="A15" s="104" t="s">
        <v>194</v>
      </c>
      <c r="B15" s="144">
        <v>39374</v>
      </c>
      <c r="C15" s="145"/>
      <c r="D15" s="144">
        <v>824717</v>
      </c>
      <c r="E15" s="145"/>
      <c r="F15" s="144">
        <v>2822711174</v>
      </c>
      <c r="G15" s="145"/>
      <c r="H15" s="144">
        <v>3422</v>
      </c>
      <c r="I15" s="146"/>
    </row>
    <row r="16" spans="1:9">
      <c r="A16" s="104" t="s">
        <v>202</v>
      </c>
      <c r="B16" s="144">
        <v>38223</v>
      </c>
      <c r="C16" s="145"/>
      <c r="D16" s="144">
        <v>775804</v>
      </c>
      <c r="E16" s="145"/>
      <c r="F16" s="144">
        <v>2670170808</v>
      </c>
      <c r="G16" s="145"/>
      <c r="H16" s="144">
        <v>3442</v>
      </c>
      <c r="I16" s="146"/>
    </row>
    <row r="17" spans="1:9">
      <c r="A17" s="104" t="s">
        <v>204</v>
      </c>
      <c r="B17" s="144">
        <v>37319</v>
      </c>
      <c r="C17" s="145"/>
      <c r="D17" s="144">
        <v>775916</v>
      </c>
      <c r="E17" s="145"/>
      <c r="F17" s="144">
        <v>2468194346</v>
      </c>
      <c r="G17" s="145"/>
      <c r="H17" s="144">
        <v>3181</v>
      </c>
      <c r="I17" s="146"/>
    </row>
    <row r="18" spans="1:9">
      <c r="A18" s="103" t="s">
        <v>210</v>
      </c>
      <c r="B18" s="144">
        <v>36527</v>
      </c>
      <c r="C18" s="145"/>
      <c r="D18" s="144">
        <v>768475</v>
      </c>
      <c r="E18" s="145"/>
      <c r="F18" s="144">
        <v>2631166056</v>
      </c>
      <c r="G18" s="145"/>
      <c r="H18" s="144">
        <v>3424</v>
      </c>
      <c r="I18" s="146"/>
    </row>
    <row r="19" spans="1:9">
      <c r="A19" s="103" t="s">
        <v>220</v>
      </c>
      <c r="B19" s="144">
        <v>35171</v>
      </c>
      <c r="C19" s="145"/>
      <c r="D19" s="144">
        <v>764308</v>
      </c>
      <c r="E19" s="145"/>
      <c r="F19" s="144">
        <v>2642636151</v>
      </c>
      <c r="G19" s="145"/>
      <c r="H19" s="144">
        <v>3458</v>
      </c>
      <c r="I19" s="146"/>
    </row>
    <row r="20" spans="1:9">
      <c r="A20" s="139" t="s">
        <v>232</v>
      </c>
      <c r="B20" s="226">
        <v>34215</v>
      </c>
      <c r="C20" s="227"/>
      <c r="D20" s="226">
        <v>757128</v>
      </c>
      <c r="E20" s="227"/>
      <c r="F20" s="226">
        <v>2572451076</v>
      </c>
      <c r="G20" s="227"/>
      <c r="H20" s="226">
        <v>3398</v>
      </c>
      <c r="I20" s="228"/>
    </row>
    <row r="21" spans="1:9">
      <c r="A21" s="1" t="s">
        <v>138</v>
      </c>
      <c r="B21" s="2"/>
      <c r="C21" s="2"/>
      <c r="D21" s="2"/>
      <c r="E21" s="2"/>
      <c r="F21" s="2"/>
      <c r="G21" s="2"/>
      <c r="H21" s="2"/>
    </row>
    <row r="22" spans="1:9">
      <c r="A22" s="82" t="s">
        <v>231</v>
      </c>
      <c r="B22" s="2"/>
      <c r="C22" s="2"/>
      <c r="D22" s="2"/>
      <c r="E22" s="2"/>
      <c r="F22" s="2"/>
      <c r="G22" s="2"/>
      <c r="H22" s="2"/>
    </row>
    <row r="23" spans="1:9">
      <c r="A23" s="82"/>
    </row>
  </sheetData>
  <mergeCells count="71">
    <mergeCell ref="B3:C4"/>
    <mergeCell ref="D3:E3"/>
    <mergeCell ref="F3:G3"/>
    <mergeCell ref="H3:I3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20:C20"/>
    <mergeCell ref="D20:E20"/>
    <mergeCell ref="F20:G20"/>
    <mergeCell ref="H20:I20"/>
    <mergeCell ref="B19:C19"/>
    <mergeCell ref="D19:E19"/>
    <mergeCell ref="F19:G19"/>
    <mergeCell ref="H19:I19"/>
  </mergeCells>
  <phoneticPr fontId="2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1E0B6-A9A9-451C-8232-00A748879922}">
  <sheetPr>
    <pageSetUpPr fitToPage="1"/>
  </sheetPr>
  <dimension ref="A1:R49"/>
  <sheetViews>
    <sheetView showGridLines="0" view="pageBreakPreview" zoomScale="145" zoomScaleNormal="150" zoomScaleSheetLayoutView="145" workbookViewId="0">
      <pane xSplit="3" ySplit="5" topLeftCell="D32" activePane="bottomRight" state="frozen"/>
      <selection pane="topRight" activeCell="D1" sqref="D1"/>
      <selection pane="bottomLeft" activeCell="A6" sqref="A6"/>
      <selection pane="bottomRight" activeCell="A3" sqref="A3:N49"/>
    </sheetView>
  </sheetViews>
  <sheetFormatPr defaultColWidth="11.625" defaultRowHeight="7.15"/>
  <cols>
    <col min="1" max="1" width="4" style="1" customWidth="1"/>
    <col min="2" max="2" width="2.625" style="1" customWidth="1"/>
    <col min="3" max="3" width="8.625" style="1" bestFit="1" customWidth="1"/>
    <col min="4" max="4" width="9.875" style="1" customWidth="1"/>
    <col min="5" max="9" width="7.5" style="1" customWidth="1"/>
    <col min="10" max="10" width="8" style="1" customWidth="1"/>
    <col min="11" max="14" width="7.5" style="1" customWidth="1"/>
    <col min="15" max="15" width="8" style="1" bestFit="1" customWidth="1"/>
    <col min="16" max="17" width="10" style="1" bestFit="1" customWidth="1"/>
    <col min="18" max="18" width="7.875" style="1" bestFit="1" customWidth="1"/>
    <col min="19" max="256" width="11.625" style="1"/>
    <col min="257" max="257" width="4" style="1" customWidth="1"/>
    <col min="258" max="258" width="2.625" style="1" customWidth="1"/>
    <col min="259" max="259" width="8.625" style="1" bestFit="1" customWidth="1"/>
    <col min="260" max="260" width="9.875" style="1" customWidth="1"/>
    <col min="261" max="265" width="7.5" style="1" customWidth="1"/>
    <col min="266" max="266" width="8" style="1" customWidth="1"/>
    <col min="267" max="270" width="7.5" style="1" customWidth="1"/>
    <col min="271" max="271" width="8" style="1" bestFit="1" customWidth="1"/>
    <col min="272" max="273" width="10" style="1" bestFit="1" customWidth="1"/>
    <col min="274" max="274" width="7.875" style="1" bestFit="1" customWidth="1"/>
    <col min="275" max="512" width="11.625" style="1"/>
    <col min="513" max="513" width="4" style="1" customWidth="1"/>
    <col min="514" max="514" width="2.625" style="1" customWidth="1"/>
    <col min="515" max="515" width="8.625" style="1" bestFit="1" customWidth="1"/>
    <col min="516" max="516" width="9.875" style="1" customWidth="1"/>
    <col min="517" max="521" width="7.5" style="1" customWidth="1"/>
    <col min="522" max="522" width="8" style="1" customWidth="1"/>
    <col min="523" max="526" width="7.5" style="1" customWidth="1"/>
    <col min="527" max="527" width="8" style="1" bestFit="1" customWidth="1"/>
    <col min="528" max="529" width="10" style="1" bestFit="1" customWidth="1"/>
    <col min="530" max="530" width="7.875" style="1" bestFit="1" customWidth="1"/>
    <col min="531" max="768" width="11.625" style="1"/>
    <col min="769" max="769" width="4" style="1" customWidth="1"/>
    <col min="770" max="770" width="2.625" style="1" customWidth="1"/>
    <col min="771" max="771" width="8.625" style="1" bestFit="1" customWidth="1"/>
    <col min="772" max="772" width="9.875" style="1" customWidth="1"/>
    <col min="773" max="777" width="7.5" style="1" customWidth="1"/>
    <col min="778" max="778" width="8" style="1" customWidth="1"/>
    <col min="779" max="782" width="7.5" style="1" customWidth="1"/>
    <col min="783" max="783" width="8" style="1" bestFit="1" customWidth="1"/>
    <col min="784" max="785" width="10" style="1" bestFit="1" customWidth="1"/>
    <col min="786" max="786" width="7.875" style="1" bestFit="1" customWidth="1"/>
    <col min="787" max="1024" width="11.625" style="1"/>
    <col min="1025" max="1025" width="4" style="1" customWidth="1"/>
    <col min="1026" max="1026" width="2.625" style="1" customWidth="1"/>
    <col min="1027" max="1027" width="8.625" style="1" bestFit="1" customWidth="1"/>
    <col min="1028" max="1028" width="9.875" style="1" customWidth="1"/>
    <col min="1029" max="1033" width="7.5" style="1" customWidth="1"/>
    <col min="1034" max="1034" width="8" style="1" customWidth="1"/>
    <col min="1035" max="1038" width="7.5" style="1" customWidth="1"/>
    <col min="1039" max="1039" width="8" style="1" bestFit="1" customWidth="1"/>
    <col min="1040" max="1041" width="10" style="1" bestFit="1" customWidth="1"/>
    <col min="1042" max="1042" width="7.875" style="1" bestFit="1" customWidth="1"/>
    <col min="1043" max="1280" width="11.625" style="1"/>
    <col min="1281" max="1281" width="4" style="1" customWidth="1"/>
    <col min="1282" max="1282" width="2.625" style="1" customWidth="1"/>
    <col min="1283" max="1283" width="8.625" style="1" bestFit="1" customWidth="1"/>
    <col min="1284" max="1284" width="9.875" style="1" customWidth="1"/>
    <col min="1285" max="1289" width="7.5" style="1" customWidth="1"/>
    <col min="1290" max="1290" width="8" style="1" customWidth="1"/>
    <col min="1291" max="1294" width="7.5" style="1" customWidth="1"/>
    <col min="1295" max="1295" width="8" style="1" bestFit="1" customWidth="1"/>
    <col min="1296" max="1297" width="10" style="1" bestFit="1" customWidth="1"/>
    <col min="1298" max="1298" width="7.875" style="1" bestFit="1" customWidth="1"/>
    <col min="1299" max="1536" width="11.625" style="1"/>
    <col min="1537" max="1537" width="4" style="1" customWidth="1"/>
    <col min="1538" max="1538" width="2.625" style="1" customWidth="1"/>
    <col min="1539" max="1539" width="8.625" style="1" bestFit="1" customWidth="1"/>
    <col min="1540" max="1540" width="9.875" style="1" customWidth="1"/>
    <col min="1541" max="1545" width="7.5" style="1" customWidth="1"/>
    <col min="1546" max="1546" width="8" style="1" customWidth="1"/>
    <col min="1547" max="1550" width="7.5" style="1" customWidth="1"/>
    <col min="1551" max="1551" width="8" style="1" bestFit="1" customWidth="1"/>
    <col min="1552" max="1553" width="10" style="1" bestFit="1" customWidth="1"/>
    <col min="1554" max="1554" width="7.875" style="1" bestFit="1" customWidth="1"/>
    <col min="1555" max="1792" width="11.625" style="1"/>
    <col min="1793" max="1793" width="4" style="1" customWidth="1"/>
    <col min="1794" max="1794" width="2.625" style="1" customWidth="1"/>
    <col min="1795" max="1795" width="8.625" style="1" bestFit="1" customWidth="1"/>
    <col min="1796" max="1796" width="9.875" style="1" customWidth="1"/>
    <col min="1797" max="1801" width="7.5" style="1" customWidth="1"/>
    <col min="1802" max="1802" width="8" style="1" customWidth="1"/>
    <col min="1803" max="1806" width="7.5" style="1" customWidth="1"/>
    <col min="1807" max="1807" width="8" style="1" bestFit="1" customWidth="1"/>
    <col min="1808" max="1809" width="10" style="1" bestFit="1" customWidth="1"/>
    <col min="1810" max="1810" width="7.875" style="1" bestFit="1" customWidth="1"/>
    <col min="1811" max="2048" width="11.625" style="1"/>
    <col min="2049" max="2049" width="4" style="1" customWidth="1"/>
    <col min="2050" max="2050" width="2.625" style="1" customWidth="1"/>
    <col min="2051" max="2051" width="8.625" style="1" bestFit="1" customWidth="1"/>
    <col min="2052" max="2052" width="9.875" style="1" customWidth="1"/>
    <col min="2053" max="2057" width="7.5" style="1" customWidth="1"/>
    <col min="2058" max="2058" width="8" style="1" customWidth="1"/>
    <col min="2059" max="2062" width="7.5" style="1" customWidth="1"/>
    <col min="2063" max="2063" width="8" style="1" bestFit="1" customWidth="1"/>
    <col min="2064" max="2065" width="10" style="1" bestFit="1" customWidth="1"/>
    <col min="2066" max="2066" width="7.875" style="1" bestFit="1" customWidth="1"/>
    <col min="2067" max="2304" width="11.625" style="1"/>
    <col min="2305" max="2305" width="4" style="1" customWidth="1"/>
    <col min="2306" max="2306" width="2.625" style="1" customWidth="1"/>
    <col min="2307" max="2307" width="8.625" style="1" bestFit="1" customWidth="1"/>
    <col min="2308" max="2308" width="9.875" style="1" customWidth="1"/>
    <col min="2309" max="2313" width="7.5" style="1" customWidth="1"/>
    <col min="2314" max="2314" width="8" style="1" customWidth="1"/>
    <col min="2315" max="2318" width="7.5" style="1" customWidth="1"/>
    <col min="2319" max="2319" width="8" style="1" bestFit="1" customWidth="1"/>
    <col min="2320" max="2321" width="10" style="1" bestFit="1" customWidth="1"/>
    <col min="2322" max="2322" width="7.875" style="1" bestFit="1" customWidth="1"/>
    <col min="2323" max="2560" width="11.625" style="1"/>
    <col min="2561" max="2561" width="4" style="1" customWidth="1"/>
    <col min="2562" max="2562" width="2.625" style="1" customWidth="1"/>
    <col min="2563" max="2563" width="8.625" style="1" bestFit="1" customWidth="1"/>
    <col min="2564" max="2564" width="9.875" style="1" customWidth="1"/>
    <col min="2565" max="2569" width="7.5" style="1" customWidth="1"/>
    <col min="2570" max="2570" width="8" style="1" customWidth="1"/>
    <col min="2571" max="2574" width="7.5" style="1" customWidth="1"/>
    <col min="2575" max="2575" width="8" style="1" bestFit="1" customWidth="1"/>
    <col min="2576" max="2577" width="10" style="1" bestFit="1" customWidth="1"/>
    <col min="2578" max="2578" width="7.875" style="1" bestFit="1" customWidth="1"/>
    <col min="2579" max="2816" width="11.625" style="1"/>
    <col min="2817" max="2817" width="4" style="1" customWidth="1"/>
    <col min="2818" max="2818" width="2.625" style="1" customWidth="1"/>
    <col min="2819" max="2819" width="8.625" style="1" bestFit="1" customWidth="1"/>
    <col min="2820" max="2820" width="9.875" style="1" customWidth="1"/>
    <col min="2821" max="2825" width="7.5" style="1" customWidth="1"/>
    <col min="2826" max="2826" width="8" style="1" customWidth="1"/>
    <col min="2827" max="2830" width="7.5" style="1" customWidth="1"/>
    <col min="2831" max="2831" width="8" style="1" bestFit="1" customWidth="1"/>
    <col min="2832" max="2833" width="10" style="1" bestFit="1" customWidth="1"/>
    <col min="2834" max="2834" width="7.875" style="1" bestFit="1" customWidth="1"/>
    <col min="2835" max="3072" width="11.625" style="1"/>
    <col min="3073" max="3073" width="4" style="1" customWidth="1"/>
    <col min="3074" max="3074" width="2.625" style="1" customWidth="1"/>
    <col min="3075" max="3075" width="8.625" style="1" bestFit="1" customWidth="1"/>
    <col min="3076" max="3076" width="9.875" style="1" customWidth="1"/>
    <col min="3077" max="3081" width="7.5" style="1" customWidth="1"/>
    <col min="3082" max="3082" width="8" style="1" customWidth="1"/>
    <col min="3083" max="3086" width="7.5" style="1" customWidth="1"/>
    <col min="3087" max="3087" width="8" style="1" bestFit="1" customWidth="1"/>
    <col min="3088" max="3089" width="10" style="1" bestFit="1" customWidth="1"/>
    <col min="3090" max="3090" width="7.875" style="1" bestFit="1" customWidth="1"/>
    <col min="3091" max="3328" width="11.625" style="1"/>
    <col min="3329" max="3329" width="4" style="1" customWidth="1"/>
    <col min="3330" max="3330" width="2.625" style="1" customWidth="1"/>
    <col min="3331" max="3331" width="8.625" style="1" bestFit="1" customWidth="1"/>
    <col min="3332" max="3332" width="9.875" style="1" customWidth="1"/>
    <col min="3333" max="3337" width="7.5" style="1" customWidth="1"/>
    <col min="3338" max="3338" width="8" style="1" customWidth="1"/>
    <col min="3339" max="3342" width="7.5" style="1" customWidth="1"/>
    <col min="3343" max="3343" width="8" style="1" bestFit="1" customWidth="1"/>
    <col min="3344" max="3345" width="10" style="1" bestFit="1" customWidth="1"/>
    <col min="3346" max="3346" width="7.875" style="1" bestFit="1" customWidth="1"/>
    <col min="3347" max="3584" width="11.625" style="1"/>
    <col min="3585" max="3585" width="4" style="1" customWidth="1"/>
    <col min="3586" max="3586" width="2.625" style="1" customWidth="1"/>
    <col min="3587" max="3587" width="8.625" style="1" bestFit="1" customWidth="1"/>
    <col min="3588" max="3588" width="9.875" style="1" customWidth="1"/>
    <col min="3589" max="3593" width="7.5" style="1" customWidth="1"/>
    <col min="3594" max="3594" width="8" style="1" customWidth="1"/>
    <col min="3595" max="3598" width="7.5" style="1" customWidth="1"/>
    <col min="3599" max="3599" width="8" style="1" bestFit="1" customWidth="1"/>
    <col min="3600" max="3601" width="10" style="1" bestFit="1" customWidth="1"/>
    <col min="3602" max="3602" width="7.875" style="1" bestFit="1" customWidth="1"/>
    <col min="3603" max="3840" width="11.625" style="1"/>
    <col min="3841" max="3841" width="4" style="1" customWidth="1"/>
    <col min="3842" max="3842" width="2.625" style="1" customWidth="1"/>
    <col min="3843" max="3843" width="8.625" style="1" bestFit="1" customWidth="1"/>
    <col min="3844" max="3844" width="9.875" style="1" customWidth="1"/>
    <col min="3845" max="3849" width="7.5" style="1" customWidth="1"/>
    <col min="3850" max="3850" width="8" style="1" customWidth="1"/>
    <col min="3851" max="3854" width="7.5" style="1" customWidth="1"/>
    <col min="3855" max="3855" width="8" style="1" bestFit="1" customWidth="1"/>
    <col min="3856" max="3857" width="10" style="1" bestFit="1" customWidth="1"/>
    <col min="3858" max="3858" width="7.875" style="1" bestFit="1" customWidth="1"/>
    <col min="3859" max="4096" width="11.625" style="1"/>
    <col min="4097" max="4097" width="4" style="1" customWidth="1"/>
    <col min="4098" max="4098" width="2.625" style="1" customWidth="1"/>
    <col min="4099" max="4099" width="8.625" style="1" bestFit="1" customWidth="1"/>
    <col min="4100" max="4100" width="9.875" style="1" customWidth="1"/>
    <col min="4101" max="4105" width="7.5" style="1" customWidth="1"/>
    <col min="4106" max="4106" width="8" style="1" customWidth="1"/>
    <col min="4107" max="4110" width="7.5" style="1" customWidth="1"/>
    <col min="4111" max="4111" width="8" style="1" bestFit="1" customWidth="1"/>
    <col min="4112" max="4113" width="10" style="1" bestFit="1" customWidth="1"/>
    <col min="4114" max="4114" width="7.875" style="1" bestFit="1" customWidth="1"/>
    <col min="4115" max="4352" width="11.625" style="1"/>
    <col min="4353" max="4353" width="4" style="1" customWidth="1"/>
    <col min="4354" max="4354" width="2.625" style="1" customWidth="1"/>
    <col min="4355" max="4355" width="8.625" style="1" bestFit="1" customWidth="1"/>
    <col min="4356" max="4356" width="9.875" style="1" customWidth="1"/>
    <col min="4357" max="4361" width="7.5" style="1" customWidth="1"/>
    <col min="4362" max="4362" width="8" style="1" customWidth="1"/>
    <col min="4363" max="4366" width="7.5" style="1" customWidth="1"/>
    <col min="4367" max="4367" width="8" style="1" bestFit="1" customWidth="1"/>
    <col min="4368" max="4369" width="10" style="1" bestFit="1" customWidth="1"/>
    <col min="4370" max="4370" width="7.875" style="1" bestFit="1" customWidth="1"/>
    <col min="4371" max="4608" width="11.625" style="1"/>
    <col min="4609" max="4609" width="4" style="1" customWidth="1"/>
    <col min="4610" max="4610" width="2.625" style="1" customWidth="1"/>
    <col min="4611" max="4611" width="8.625" style="1" bestFit="1" customWidth="1"/>
    <col min="4612" max="4612" width="9.875" style="1" customWidth="1"/>
    <col min="4613" max="4617" width="7.5" style="1" customWidth="1"/>
    <col min="4618" max="4618" width="8" style="1" customWidth="1"/>
    <col min="4619" max="4622" width="7.5" style="1" customWidth="1"/>
    <col min="4623" max="4623" width="8" style="1" bestFit="1" customWidth="1"/>
    <col min="4624" max="4625" width="10" style="1" bestFit="1" customWidth="1"/>
    <col min="4626" max="4626" width="7.875" style="1" bestFit="1" customWidth="1"/>
    <col min="4627" max="4864" width="11.625" style="1"/>
    <col min="4865" max="4865" width="4" style="1" customWidth="1"/>
    <col min="4866" max="4866" width="2.625" style="1" customWidth="1"/>
    <col min="4867" max="4867" width="8.625" style="1" bestFit="1" customWidth="1"/>
    <col min="4868" max="4868" width="9.875" style="1" customWidth="1"/>
    <col min="4869" max="4873" width="7.5" style="1" customWidth="1"/>
    <col min="4874" max="4874" width="8" style="1" customWidth="1"/>
    <col min="4875" max="4878" width="7.5" style="1" customWidth="1"/>
    <col min="4879" max="4879" width="8" style="1" bestFit="1" customWidth="1"/>
    <col min="4880" max="4881" width="10" style="1" bestFit="1" customWidth="1"/>
    <col min="4882" max="4882" width="7.875" style="1" bestFit="1" customWidth="1"/>
    <col min="4883" max="5120" width="11.625" style="1"/>
    <col min="5121" max="5121" width="4" style="1" customWidth="1"/>
    <col min="5122" max="5122" width="2.625" style="1" customWidth="1"/>
    <col min="5123" max="5123" width="8.625" style="1" bestFit="1" customWidth="1"/>
    <col min="5124" max="5124" width="9.875" style="1" customWidth="1"/>
    <col min="5125" max="5129" width="7.5" style="1" customWidth="1"/>
    <col min="5130" max="5130" width="8" style="1" customWidth="1"/>
    <col min="5131" max="5134" width="7.5" style="1" customWidth="1"/>
    <col min="5135" max="5135" width="8" style="1" bestFit="1" customWidth="1"/>
    <col min="5136" max="5137" width="10" style="1" bestFit="1" customWidth="1"/>
    <col min="5138" max="5138" width="7.875" style="1" bestFit="1" customWidth="1"/>
    <col min="5139" max="5376" width="11.625" style="1"/>
    <col min="5377" max="5377" width="4" style="1" customWidth="1"/>
    <col min="5378" max="5378" width="2.625" style="1" customWidth="1"/>
    <col min="5379" max="5379" width="8.625" style="1" bestFit="1" customWidth="1"/>
    <col min="5380" max="5380" width="9.875" style="1" customWidth="1"/>
    <col min="5381" max="5385" width="7.5" style="1" customWidth="1"/>
    <col min="5386" max="5386" width="8" style="1" customWidth="1"/>
    <col min="5387" max="5390" width="7.5" style="1" customWidth="1"/>
    <col min="5391" max="5391" width="8" style="1" bestFit="1" customWidth="1"/>
    <col min="5392" max="5393" width="10" style="1" bestFit="1" customWidth="1"/>
    <col min="5394" max="5394" width="7.875" style="1" bestFit="1" customWidth="1"/>
    <col min="5395" max="5632" width="11.625" style="1"/>
    <col min="5633" max="5633" width="4" style="1" customWidth="1"/>
    <col min="5634" max="5634" width="2.625" style="1" customWidth="1"/>
    <col min="5635" max="5635" width="8.625" style="1" bestFit="1" customWidth="1"/>
    <col min="5636" max="5636" width="9.875" style="1" customWidth="1"/>
    <col min="5637" max="5641" width="7.5" style="1" customWidth="1"/>
    <col min="5642" max="5642" width="8" style="1" customWidth="1"/>
    <col min="5643" max="5646" width="7.5" style="1" customWidth="1"/>
    <col min="5647" max="5647" width="8" style="1" bestFit="1" customWidth="1"/>
    <col min="5648" max="5649" width="10" style="1" bestFit="1" customWidth="1"/>
    <col min="5650" max="5650" width="7.875" style="1" bestFit="1" customWidth="1"/>
    <col min="5651" max="5888" width="11.625" style="1"/>
    <col min="5889" max="5889" width="4" style="1" customWidth="1"/>
    <col min="5890" max="5890" width="2.625" style="1" customWidth="1"/>
    <col min="5891" max="5891" width="8.625" style="1" bestFit="1" customWidth="1"/>
    <col min="5892" max="5892" width="9.875" style="1" customWidth="1"/>
    <col min="5893" max="5897" width="7.5" style="1" customWidth="1"/>
    <col min="5898" max="5898" width="8" style="1" customWidth="1"/>
    <col min="5899" max="5902" width="7.5" style="1" customWidth="1"/>
    <col min="5903" max="5903" width="8" style="1" bestFit="1" customWidth="1"/>
    <col min="5904" max="5905" width="10" style="1" bestFit="1" customWidth="1"/>
    <col min="5906" max="5906" width="7.875" style="1" bestFit="1" customWidth="1"/>
    <col min="5907" max="6144" width="11.625" style="1"/>
    <col min="6145" max="6145" width="4" style="1" customWidth="1"/>
    <col min="6146" max="6146" width="2.625" style="1" customWidth="1"/>
    <col min="6147" max="6147" width="8.625" style="1" bestFit="1" customWidth="1"/>
    <col min="6148" max="6148" width="9.875" style="1" customWidth="1"/>
    <col min="6149" max="6153" width="7.5" style="1" customWidth="1"/>
    <col min="6154" max="6154" width="8" style="1" customWidth="1"/>
    <col min="6155" max="6158" width="7.5" style="1" customWidth="1"/>
    <col min="6159" max="6159" width="8" style="1" bestFit="1" customWidth="1"/>
    <col min="6160" max="6161" width="10" style="1" bestFit="1" customWidth="1"/>
    <col min="6162" max="6162" width="7.875" style="1" bestFit="1" customWidth="1"/>
    <col min="6163" max="6400" width="11.625" style="1"/>
    <col min="6401" max="6401" width="4" style="1" customWidth="1"/>
    <col min="6402" max="6402" width="2.625" style="1" customWidth="1"/>
    <col min="6403" max="6403" width="8.625" style="1" bestFit="1" customWidth="1"/>
    <col min="6404" max="6404" width="9.875" style="1" customWidth="1"/>
    <col min="6405" max="6409" width="7.5" style="1" customWidth="1"/>
    <col min="6410" max="6410" width="8" style="1" customWidth="1"/>
    <col min="6411" max="6414" width="7.5" style="1" customWidth="1"/>
    <col min="6415" max="6415" width="8" style="1" bestFit="1" customWidth="1"/>
    <col min="6416" max="6417" width="10" style="1" bestFit="1" customWidth="1"/>
    <col min="6418" max="6418" width="7.875" style="1" bestFit="1" customWidth="1"/>
    <col min="6419" max="6656" width="11.625" style="1"/>
    <col min="6657" max="6657" width="4" style="1" customWidth="1"/>
    <col min="6658" max="6658" width="2.625" style="1" customWidth="1"/>
    <col min="6659" max="6659" width="8.625" style="1" bestFit="1" customWidth="1"/>
    <col min="6660" max="6660" width="9.875" style="1" customWidth="1"/>
    <col min="6661" max="6665" width="7.5" style="1" customWidth="1"/>
    <col min="6666" max="6666" width="8" style="1" customWidth="1"/>
    <col min="6667" max="6670" width="7.5" style="1" customWidth="1"/>
    <col min="6671" max="6671" width="8" style="1" bestFit="1" customWidth="1"/>
    <col min="6672" max="6673" width="10" style="1" bestFit="1" customWidth="1"/>
    <col min="6674" max="6674" width="7.875" style="1" bestFit="1" customWidth="1"/>
    <col min="6675" max="6912" width="11.625" style="1"/>
    <col min="6913" max="6913" width="4" style="1" customWidth="1"/>
    <col min="6914" max="6914" width="2.625" style="1" customWidth="1"/>
    <col min="6915" max="6915" width="8.625" style="1" bestFit="1" customWidth="1"/>
    <col min="6916" max="6916" width="9.875" style="1" customWidth="1"/>
    <col min="6917" max="6921" width="7.5" style="1" customWidth="1"/>
    <col min="6922" max="6922" width="8" style="1" customWidth="1"/>
    <col min="6923" max="6926" width="7.5" style="1" customWidth="1"/>
    <col min="6927" max="6927" width="8" style="1" bestFit="1" customWidth="1"/>
    <col min="6928" max="6929" width="10" style="1" bestFit="1" customWidth="1"/>
    <col min="6930" max="6930" width="7.875" style="1" bestFit="1" customWidth="1"/>
    <col min="6931" max="7168" width="11.625" style="1"/>
    <col min="7169" max="7169" width="4" style="1" customWidth="1"/>
    <col min="7170" max="7170" width="2.625" style="1" customWidth="1"/>
    <col min="7171" max="7171" width="8.625" style="1" bestFit="1" customWidth="1"/>
    <col min="7172" max="7172" width="9.875" style="1" customWidth="1"/>
    <col min="7173" max="7177" width="7.5" style="1" customWidth="1"/>
    <col min="7178" max="7178" width="8" style="1" customWidth="1"/>
    <col min="7179" max="7182" width="7.5" style="1" customWidth="1"/>
    <col min="7183" max="7183" width="8" style="1" bestFit="1" customWidth="1"/>
    <col min="7184" max="7185" width="10" style="1" bestFit="1" customWidth="1"/>
    <col min="7186" max="7186" width="7.875" style="1" bestFit="1" customWidth="1"/>
    <col min="7187" max="7424" width="11.625" style="1"/>
    <col min="7425" max="7425" width="4" style="1" customWidth="1"/>
    <col min="7426" max="7426" width="2.625" style="1" customWidth="1"/>
    <col min="7427" max="7427" width="8.625" style="1" bestFit="1" customWidth="1"/>
    <col min="7428" max="7428" width="9.875" style="1" customWidth="1"/>
    <col min="7429" max="7433" width="7.5" style="1" customWidth="1"/>
    <col min="7434" max="7434" width="8" style="1" customWidth="1"/>
    <col min="7435" max="7438" width="7.5" style="1" customWidth="1"/>
    <col min="7439" max="7439" width="8" style="1" bestFit="1" customWidth="1"/>
    <col min="7440" max="7441" width="10" style="1" bestFit="1" customWidth="1"/>
    <col min="7442" max="7442" width="7.875" style="1" bestFit="1" customWidth="1"/>
    <col min="7443" max="7680" width="11.625" style="1"/>
    <col min="7681" max="7681" width="4" style="1" customWidth="1"/>
    <col min="7682" max="7682" width="2.625" style="1" customWidth="1"/>
    <col min="7683" max="7683" width="8.625" style="1" bestFit="1" customWidth="1"/>
    <col min="7684" max="7684" width="9.875" style="1" customWidth="1"/>
    <col min="7685" max="7689" width="7.5" style="1" customWidth="1"/>
    <col min="7690" max="7690" width="8" style="1" customWidth="1"/>
    <col min="7691" max="7694" width="7.5" style="1" customWidth="1"/>
    <col min="7695" max="7695" width="8" style="1" bestFit="1" customWidth="1"/>
    <col min="7696" max="7697" width="10" style="1" bestFit="1" customWidth="1"/>
    <col min="7698" max="7698" width="7.875" style="1" bestFit="1" customWidth="1"/>
    <col min="7699" max="7936" width="11.625" style="1"/>
    <col min="7937" max="7937" width="4" style="1" customWidth="1"/>
    <col min="7938" max="7938" width="2.625" style="1" customWidth="1"/>
    <col min="7939" max="7939" width="8.625" style="1" bestFit="1" customWidth="1"/>
    <col min="7940" max="7940" width="9.875" style="1" customWidth="1"/>
    <col min="7941" max="7945" width="7.5" style="1" customWidth="1"/>
    <col min="7946" max="7946" width="8" style="1" customWidth="1"/>
    <col min="7947" max="7950" width="7.5" style="1" customWidth="1"/>
    <col min="7951" max="7951" width="8" style="1" bestFit="1" customWidth="1"/>
    <col min="7952" max="7953" width="10" style="1" bestFit="1" customWidth="1"/>
    <col min="7954" max="7954" width="7.875" style="1" bestFit="1" customWidth="1"/>
    <col min="7955" max="8192" width="11.625" style="1"/>
    <col min="8193" max="8193" width="4" style="1" customWidth="1"/>
    <col min="8194" max="8194" width="2.625" style="1" customWidth="1"/>
    <col min="8195" max="8195" width="8.625" style="1" bestFit="1" customWidth="1"/>
    <col min="8196" max="8196" width="9.875" style="1" customWidth="1"/>
    <col min="8197" max="8201" width="7.5" style="1" customWidth="1"/>
    <col min="8202" max="8202" width="8" style="1" customWidth="1"/>
    <col min="8203" max="8206" width="7.5" style="1" customWidth="1"/>
    <col min="8207" max="8207" width="8" style="1" bestFit="1" customWidth="1"/>
    <col min="8208" max="8209" width="10" style="1" bestFit="1" customWidth="1"/>
    <col min="8210" max="8210" width="7.875" style="1" bestFit="1" customWidth="1"/>
    <col min="8211" max="8448" width="11.625" style="1"/>
    <col min="8449" max="8449" width="4" style="1" customWidth="1"/>
    <col min="8450" max="8450" width="2.625" style="1" customWidth="1"/>
    <col min="8451" max="8451" width="8.625" style="1" bestFit="1" customWidth="1"/>
    <col min="8452" max="8452" width="9.875" style="1" customWidth="1"/>
    <col min="8453" max="8457" width="7.5" style="1" customWidth="1"/>
    <col min="8458" max="8458" width="8" style="1" customWidth="1"/>
    <col min="8459" max="8462" width="7.5" style="1" customWidth="1"/>
    <col min="8463" max="8463" width="8" style="1" bestFit="1" customWidth="1"/>
    <col min="8464" max="8465" width="10" style="1" bestFit="1" customWidth="1"/>
    <col min="8466" max="8466" width="7.875" style="1" bestFit="1" customWidth="1"/>
    <col min="8467" max="8704" width="11.625" style="1"/>
    <col min="8705" max="8705" width="4" style="1" customWidth="1"/>
    <col min="8706" max="8706" width="2.625" style="1" customWidth="1"/>
    <col min="8707" max="8707" width="8.625" style="1" bestFit="1" customWidth="1"/>
    <col min="8708" max="8708" width="9.875" style="1" customWidth="1"/>
    <col min="8709" max="8713" width="7.5" style="1" customWidth="1"/>
    <col min="8714" max="8714" width="8" style="1" customWidth="1"/>
    <col min="8715" max="8718" width="7.5" style="1" customWidth="1"/>
    <col min="8719" max="8719" width="8" style="1" bestFit="1" customWidth="1"/>
    <col min="8720" max="8721" width="10" style="1" bestFit="1" customWidth="1"/>
    <col min="8722" max="8722" width="7.875" style="1" bestFit="1" customWidth="1"/>
    <col min="8723" max="8960" width="11.625" style="1"/>
    <col min="8961" max="8961" width="4" style="1" customWidth="1"/>
    <col min="8962" max="8962" width="2.625" style="1" customWidth="1"/>
    <col min="8963" max="8963" width="8.625" style="1" bestFit="1" customWidth="1"/>
    <col min="8964" max="8964" width="9.875" style="1" customWidth="1"/>
    <col min="8965" max="8969" width="7.5" style="1" customWidth="1"/>
    <col min="8970" max="8970" width="8" style="1" customWidth="1"/>
    <col min="8971" max="8974" width="7.5" style="1" customWidth="1"/>
    <col min="8975" max="8975" width="8" style="1" bestFit="1" customWidth="1"/>
    <col min="8976" max="8977" width="10" style="1" bestFit="1" customWidth="1"/>
    <col min="8978" max="8978" width="7.875" style="1" bestFit="1" customWidth="1"/>
    <col min="8979" max="9216" width="11.625" style="1"/>
    <col min="9217" max="9217" width="4" style="1" customWidth="1"/>
    <col min="9218" max="9218" width="2.625" style="1" customWidth="1"/>
    <col min="9219" max="9219" width="8.625" style="1" bestFit="1" customWidth="1"/>
    <col min="9220" max="9220" width="9.875" style="1" customWidth="1"/>
    <col min="9221" max="9225" width="7.5" style="1" customWidth="1"/>
    <col min="9226" max="9226" width="8" style="1" customWidth="1"/>
    <col min="9227" max="9230" width="7.5" style="1" customWidth="1"/>
    <col min="9231" max="9231" width="8" style="1" bestFit="1" customWidth="1"/>
    <col min="9232" max="9233" width="10" style="1" bestFit="1" customWidth="1"/>
    <col min="9234" max="9234" width="7.875" style="1" bestFit="1" customWidth="1"/>
    <col min="9235" max="9472" width="11.625" style="1"/>
    <col min="9473" max="9473" width="4" style="1" customWidth="1"/>
    <col min="9474" max="9474" width="2.625" style="1" customWidth="1"/>
    <col min="9475" max="9475" width="8.625" style="1" bestFit="1" customWidth="1"/>
    <col min="9476" max="9476" width="9.875" style="1" customWidth="1"/>
    <col min="9477" max="9481" width="7.5" style="1" customWidth="1"/>
    <col min="9482" max="9482" width="8" style="1" customWidth="1"/>
    <col min="9483" max="9486" width="7.5" style="1" customWidth="1"/>
    <col min="9487" max="9487" width="8" style="1" bestFit="1" customWidth="1"/>
    <col min="9488" max="9489" width="10" style="1" bestFit="1" customWidth="1"/>
    <col min="9490" max="9490" width="7.875" style="1" bestFit="1" customWidth="1"/>
    <col min="9491" max="9728" width="11.625" style="1"/>
    <col min="9729" max="9729" width="4" style="1" customWidth="1"/>
    <col min="9730" max="9730" width="2.625" style="1" customWidth="1"/>
    <col min="9731" max="9731" width="8.625" style="1" bestFit="1" customWidth="1"/>
    <col min="9732" max="9732" width="9.875" style="1" customWidth="1"/>
    <col min="9733" max="9737" width="7.5" style="1" customWidth="1"/>
    <col min="9738" max="9738" width="8" style="1" customWidth="1"/>
    <col min="9739" max="9742" width="7.5" style="1" customWidth="1"/>
    <col min="9743" max="9743" width="8" style="1" bestFit="1" customWidth="1"/>
    <col min="9744" max="9745" width="10" style="1" bestFit="1" customWidth="1"/>
    <col min="9746" max="9746" width="7.875" style="1" bestFit="1" customWidth="1"/>
    <col min="9747" max="9984" width="11.625" style="1"/>
    <col min="9985" max="9985" width="4" style="1" customWidth="1"/>
    <col min="9986" max="9986" width="2.625" style="1" customWidth="1"/>
    <col min="9987" max="9987" width="8.625" style="1" bestFit="1" customWidth="1"/>
    <col min="9988" max="9988" width="9.875" style="1" customWidth="1"/>
    <col min="9989" max="9993" width="7.5" style="1" customWidth="1"/>
    <col min="9994" max="9994" width="8" style="1" customWidth="1"/>
    <col min="9995" max="9998" width="7.5" style="1" customWidth="1"/>
    <col min="9999" max="9999" width="8" style="1" bestFit="1" customWidth="1"/>
    <col min="10000" max="10001" width="10" style="1" bestFit="1" customWidth="1"/>
    <col min="10002" max="10002" width="7.875" style="1" bestFit="1" customWidth="1"/>
    <col min="10003" max="10240" width="11.625" style="1"/>
    <col min="10241" max="10241" width="4" style="1" customWidth="1"/>
    <col min="10242" max="10242" width="2.625" style="1" customWidth="1"/>
    <col min="10243" max="10243" width="8.625" style="1" bestFit="1" customWidth="1"/>
    <col min="10244" max="10244" width="9.875" style="1" customWidth="1"/>
    <col min="10245" max="10249" width="7.5" style="1" customWidth="1"/>
    <col min="10250" max="10250" width="8" style="1" customWidth="1"/>
    <col min="10251" max="10254" width="7.5" style="1" customWidth="1"/>
    <col min="10255" max="10255" width="8" style="1" bestFit="1" customWidth="1"/>
    <col min="10256" max="10257" width="10" style="1" bestFit="1" customWidth="1"/>
    <col min="10258" max="10258" width="7.875" style="1" bestFit="1" customWidth="1"/>
    <col min="10259" max="10496" width="11.625" style="1"/>
    <col min="10497" max="10497" width="4" style="1" customWidth="1"/>
    <col min="10498" max="10498" width="2.625" style="1" customWidth="1"/>
    <col min="10499" max="10499" width="8.625" style="1" bestFit="1" customWidth="1"/>
    <col min="10500" max="10500" width="9.875" style="1" customWidth="1"/>
    <col min="10501" max="10505" width="7.5" style="1" customWidth="1"/>
    <col min="10506" max="10506" width="8" style="1" customWidth="1"/>
    <col min="10507" max="10510" width="7.5" style="1" customWidth="1"/>
    <col min="10511" max="10511" width="8" style="1" bestFit="1" customWidth="1"/>
    <col min="10512" max="10513" width="10" style="1" bestFit="1" customWidth="1"/>
    <col min="10514" max="10514" width="7.875" style="1" bestFit="1" customWidth="1"/>
    <col min="10515" max="10752" width="11.625" style="1"/>
    <col min="10753" max="10753" width="4" style="1" customWidth="1"/>
    <col min="10754" max="10754" width="2.625" style="1" customWidth="1"/>
    <col min="10755" max="10755" width="8.625" style="1" bestFit="1" customWidth="1"/>
    <col min="10756" max="10756" width="9.875" style="1" customWidth="1"/>
    <col min="10757" max="10761" width="7.5" style="1" customWidth="1"/>
    <col min="10762" max="10762" width="8" style="1" customWidth="1"/>
    <col min="10763" max="10766" width="7.5" style="1" customWidth="1"/>
    <col min="10767" max="10767" width="8" style="1" bestFit="1" customWidth="1"/>
    <col min="10768" max="10769" width="10" style="1" bestFit="1" customWidth="1"/>
    <col min="10770" max="10770" width="7.875" style="1" bestFit="1" customWidth="1"/>
    <col min="10771" max="11008" width="11.625" style="1"/>
    <col min="11009" max="11009" width="4" style="1" customWidth="1"/>
    <col min="11010" max="11010" width="2.625" style="1" customWidth="1"/>
    <col min="11011" max="11011" width="8.625" style="1" bestFit="1" customWidth="1"/>
    <col min="11012" max="11012" width="9.875" style="1" customWidth="1"/>
    <col min="11013" max="11017" width="7.5" style="1" customWidth="1"/>
    <col min="11018" max="11018" width="8" style="1" customWidth="1"/>
    <col min="11019" max="11022" width="7.5" style="1" customWidth="1"/>
    <col min="11023" max="11023" width="8" style="1" bestFit="1" customWidth="1"/>
    <col min="11024" max="11025" width="10" style="1" bestFit="1" customWidth="1"/>
    <col min="11026" max="11026" width="7.875" style="1" bestFit="1" customWidth="1"/>
    <col min="11027" max="11264" width="11.625" style="1"/>
    <col min="11265" max="11265" width="4" style="1" customWidth="1"/>
    <col min="11266" max="11266" width="2.625" style="1" customWidth="1"/>
    <col min="11267" max="11267" width="8.625" style="1" bestFit="1" customWidth="1"/>
    <col min="11268" max="11268" width="9.875" style="1" customWidth="1"/>
    <col min="11269" max="11273" width="7.5" style="1" customWidth="1"/>
    <col min="11274" max="11274" width="8" style="1" customWidth="1"/>
    <col min="11275" max="11278" width="7.5" style="1" customWidth="1"/>
    <col min="11279" max="11279" width="8" style="1" bestFit="1" customWidth="1"/>
    <col min="11280" max="11281" width="10" style="1" bestFit="1" customWidth="1"/>
    <col min="11282" max="11282" width="7.875" style="1" bestFit="1" customWidth="1"/>
    <col min="11283" max="11520" width="11.625" style="1"/>
    <col min="11521" max="11521" width="4" style="1" customWidth="1"/>
    <col min="11522" max="11522" width="2.625" style="1" customWidth="1"/>
    <col min="11523" max="11523" width="8.625" style="1" bestFit="1" customWidth="1"/>
    <col min="11524" max="11524" width="9.875" style="1" customWidth="1"/>
    <col min="11525" max="11529" width="7.5" style="1" customWidth="1"/>
    <col min="11530" max="11530" width="8" style="1" customWidth="1"/>
    <col min="11531" max="11534" width="7.5" style="1" customWidth="1"/>
    <col min="11535" max="11535" width="8" style="1" bestFit="1" customWidth="1"/>
    <col min="11536" max="11537" width="10" style="1" bestFit="1" customWidth="1"/>
    <col min="11538" max="11538" width="7.875" style="1" bestFit="1" customWidth="1"/>
    <col min="11539" max="11776" width="11.625" style="1"/>
    <col min="11777" max="11777" width="4" style="1" customWidth="1"/>
    <col min="11778" max="11778" width="2.625" style="1" customWidth="1"/>
    <col min="11779" max="11779" width="8.625" style="1" bestFit="1" customWidth="1"/>
    <col min="11780" max="11780" width="9.875" style="1" customWidth="1"/>
    <col min="11781" max="11785" width="7.5" style="1" customWidth="1"/>
    <col min="11786" max="11786" width="8" style="1" customWidth="1"/>
    <col min="11787" max="11790" width="7.5" style="1" customWidth="1"/>
    <col min="11791" max="11791" width="8" style="1" bestFit="1" customWidth="1"/>
    <col min="11792" max="11793" width="10" style="1" bestFit="1" customWidth="1"/>
    <col min="11794" max="11794" width="7.875" style="1" bestFit="1" customWidth="1"/>
    <col min="11795" max="12032" width="11.625" style="1"/>
    <col min="12033" max="12033" width="4" style="1" customWidth="1"/>
    <col min="12034" max="12034" width="2.625" style="1" customWidth="1"/>
    <col min="12035" max="12035" width="8.625" style="1" bestFit="1" customWidth="1"/>
    <col min="12036" max="12036" width="9.875" style="1" customWidth="1"/>
    <col min="12037" max="12041" width="7.5" style="1" customWidth="1"/>
    <col min="12042" max="12042" width="8" style="1" customWidth="1"/>
    <col min="12043" max="12046" width="7.5" style="1" customWidth="1"/>
    <col min="12047" max="12047" width="8" style="1" bestFit="1" customWidth="1"/>
    <col min="12048" max="12049" width="10" style="1" bestFit="1" customWidth="1"/>
    <col min="12050" max="12050" width="7.875" style="1" bestFit="1" customWidth="1"/>
    <col min="12051" max="12288" width="11.625" style="1"/>
    <col min="12289" max="12289" width="4" style="1" customWidth="1"/>
    <col min="12290" max="12290" width="2.625" style="1" customWidth="1"/>
    <col min="12291" max="12291" width="8.625" style="1" bestFit="1" customWidth="1"/>
    <col min="12292" max="12292" width="9.875" style="1" customWidth="1"/>
    <col min="12293" max="12297" width="7.5" style="1" customWidth="1"/>
    <col min="12298" max="12298" width="8" style="1" customWidth="1"/>
    <col min="12299" max="12302" width="7.5" style="1" customWidth="1"/>
    <col min="12303" max="12303" width="8" style="1" bestFit="1" customWidth="1"/>
    <col min="12304" max="12305" width="10" style="1" bestFit="1" customWidth="1"/>
    <col min="12306" max="12306" width="7.875" style="1" bestFit="1" customWidth="1"/>
    <col min="12307" max="12544" width="11.625" style="1"/>
    <col min="12545" max="12545" width="4" style="1" customWidth="1"/>
    <col min="12546" max="12546" width="2.625" style="1" customWidth="1"/>
    <col min="12547" max="12547" width="8.625" style="1" bestFit="1" customWidth="1"/>
    <col min="12548" max="12548" width="9.875" style="1" customWidth="1"/>
    <col min="12549" max="12553" width="7.5" style="1" customWidth="1"/>
    <col min="12554" max="12554" width="8" style="1" customWidth="1"/>
    <col min="12555" max="12558" width="7.5" style="1" customWidth="1"/>
    <col min="12559" max="12559" width="8" style="1" bestFit="1" customWidth="1"/>
    <col min="12560" max="12561" width="10" style="1" bestFit="1" customWidth="1"/>
    <col min="12562" max="12562" width="7.875" style="1" bestFit="1" customWidth="1"/>
    <col min="12563" max="12800" width="11.625" style="1"/>
    <col min="12801" max="12801" width="4" style="1" customWidth="1"/>
    <col min="12802" max="12802" width="2.625" style="1" customWidth="1"/>
    <col min="12803" max="12803" width="8.625" style="1" bestFit="1" customWidth="1"/>
    <col min="12804" max="12804" width="9.875" style="1" customWidth="1"/>
    <col min="12805" max="12809" width="7.5" style="1" customWidth="1"/>
    <col min="12810" max="12810" width="8" style="1" customWidth="1"/>
    <col min="12811" max="12814" width="7.5" style="1" customWidth="1"/>
    <col min="12815" max="12815" width="8" style="1" bestFit="1" customWidth="1"/>
    <col min="12816" max="12817" width="10" style="1" bestFit="1" customWidth="1"/>
    <col min="12818" max="12818" width="7.875" style="1" bestFit="1" customWidth="1"/>
    <col min="12819" max="13056" width="11.625" style="1"/>
    <col min="13057" max="13057" width="4" style="1" customWidth="1"/>
    <col min="13058" max="13058" width="2.625" style="1" customWidth="1"/>
    <col min="13059" max="13059" width="8.625" style="1" bestFit="1" customWidth="1"/>
    <col min="13060" max="13060" width="9.875" style="1" customWidth="1"/>
    <col min="13061" max="13065" width="7.5" style="1" customWidth="1"/>
    <col min="13066" max="13066" width="8" style="1" customWidth="1"/>
    <col min="13067" max="13070" width="7.5" style="1" customWidth="1"/>
    <col min="13071" max="13071" width="8" style="1" bestFit="1" customWidth="1"/>
    <col min="13072" max="13073" width="10" style="1" bestFit="1" customWidth="1"/>
    <col min="13074" max="13074" width="7.875" style="1" bestFit="1" customWidth="1"/>
    <col min="13075" max="13312" width="11.625" style="1"/>
    <col min="13313" max="13313" width="4" style="1" customWidth="1"/>
    <col min="13314" max="13314" width="2.625" style="1" customWidth="1"/>
    <col min="13315" max="13315" width="8.625" style="1" bestFit="1" customWidth="1"/>
    <col min="13316" max="13316" width="9.875" style="1" customWidth="1"/>
    <col min="13317" max="13321" width="7.5" style="1" customWidth="1"/>
    <col min="13322" max="13322" width="8" style="1" customWidth="1"/>
    <col min="13323" max="13326" width="7.5" style="1" customWidth="1"/>
    <col min="13327" max="13327" width="8" style="1" bestFit="1" customWidth="1"/>
    <col min="13328" max="13329" width="10" style="1" bestFit="1" customWidth="1"/>
    <col min="13330" max="13330" width="7.875" style="1" bestFit="1" customWidth="1"/>
    <col min="13331" max="13568" width="11.625" style="1"/>
    <col min="13569" max="13569" width="4" style="1" customWidth="1"/>
    <col min="13570" max="13570" width="2.625" style="1" customWidth="1"/>
    <col min="13571" max="13571" width="8.625" style="1" bestFit="1" customWidth="1"/>
    <col min="13572" max="13572" width="9.875" style="1" customWidth="1"/>
    <col min="13573" max="13577" width="7.5" style="1" customWidth="1"/>
    <col min="13578" max="13578" width="8" style="1" customWidth="1"/>
    <col min="13579" max="13582" width="7.5" style="1" customWidth="1"/>
    <col min="13583" max="13583" width="8" style="1" bestFit="1" customWidth="1"/>
    <col min="13584" max="13585" width="10" style="1" bestFit="1" customWidth="1"/>
    <col min="13586" max="13586" width="7.875" style="1" bestFit="1" customWidth="1"/>
    <col min="13587" max="13824" width="11.625" style="1"/>
    <col min="13825" max="13825" width="4" style="1" customWidth="1"/>
    <col min="13826" max="13826" width="2.625" style="1" customWidth="1"/>
    <col min="13827" max="13827" width="8.625" style="1" bestFit="1" customWidth="1"/>
    <col min="13828" max="13828" width="9.875" style="1" customWidth="1"/>
    <col min="13829" max="13833" width="7.5" style="1" customWidth="1"/>
    <col min="13834" max="13834" width="8" style="1" customWidth="1"/>
    <col min="13835" max="13838" width="7.5" style="1" customWidth="1"/>
    <col min="13839" max="13839" width="8" style="1" bestFit="1" customWidth="1"/>
    <col min="13840" max="13841" width="10" style="1" bestFit="1" customWidth="1"/>
    <col min="13842" max="13842" width="7.875" style="1" bestFit="1" customWidth="1"/>
    <col min="13843" max="14080" width="11.625" style="1"/>
    <col min="14081" max="14081" width="4" style="1" customWidth="1"/>
    <col min="14082" max="14082" width="2.625" style="1" customWidth="1"/>
    <col min="14083" max="14083" width="8.625" style="1" bestFit="1" customWidth="1"/>
    <col min="14084" max="14084" width="9.875" style="1" customWidth="1"/>
    <col min="14085" max="14089" width="7.5" style="1" customWidth="1"/>
    <col min="14090" max="14090" width="8" style="1" customWidth="1"/>
    <col min="14091" max="14094" width="7.5" style="1" customWidth="1"/>
    <col min="14095" max="14095" width="8" style="1" bestFit="1" customWidth="1"/>
    <col min="14096" max="14097" width="10" style="1" bestFit="1" customWidth="1"/>
    <col min="14098" max="14098" width="7.875" style="1" bestFit="1" customWidth="1"/>
    <col min="14099" max="14336" width="11.625" style="1"/>
    <col min="14337" max="14337" width="4" style="1" customWidth="1"/>
    <col min="14338" max="14338" width="2.625" style="1" customWidth="1"/>
    <col min="14339" max="14339" width="8.625" style="1" bestFit="1" customWidth="1"/>
    <col min="14340" max="14340" width="9.875" style="1" customWidth="1"/>
    <col min="14341" max="14345" width="7.5" style="1" customWidth="1"/>
    <col min="14346" max="14346" width="8" style="1" customWidth="1"/>
    <col min="14347" max="14350" width="7.5" style="1" customWidth="1"/>
    <col min="14351" max="14351" width="8" style="1" bestFit="1" customWidth="1"/>
    <col min="14352" max="14353" width="10" style="1" bestFit="1" customWidth="1"/>
    <col min="14354" max="14354" width="7.875" style="1" bestFit="1" customWidth="1"/>
    <col min="14355" max="14592" width="11.625" style="1"/>
    <col min="14593" max="14593" width="4" style="1" customWidth="1"/>
    <col min="14594" max="14594" width="2.625" style="1" customWidth="1"/>
    <col min="14595" max="14595" width="8.625" style="1" bestFit="1" customWidth="1"/>
    <col min="14596" max="14596" width="9.875" style="1" customWidth="1"/>
    <col min="14597" max="14601" width="7.5" style="1" customWidth="1"/>
    <col min="14602" max="14602" width="8" style="1" customWidth="1"/>
    <col min="14603" max="14606" width="7.5" style="1" customWidth="1"/>
    <col min="14607" max="14607" width="8" style="1" bestFit="1" customWidth="1"/>
    <col min="14608" max="14609" width="10" style="1" bestFit="1" customWidth="1"/>
    <col min="14610" max="14610" width="7.875" style="1" bestFit="1" customWidth="1"/>
    <col min="14611" max="14848" width="11.625" style="1"/>
    <col min="14849" max="14849" width="4" style="1" customWidth="1"/>
    <col min="14850" max="14850" width="2.625" style="1" customWidth="1"/>
    <col min="14851" max="14851" width="8.625" style="1" bestFit="1" customWidth="1"/>
    <col min="14852" max="14852" width="9.875" style="1" customWidth="1"/>
    <col min="14853" max="14857" width="7.5" style="1" customWidth="1"/>
    <col min="14858" max="14858" width="8" style="1" customWidth="1"/>
    <col min="14859" max="14862" width="7.5" style="1" customWidth="1"/>
    <col min="14863" max="14863" width="8" style="1" bestFit="1" customWidth="1"/>
    <col min="14864" max="14865" width="10" style="1" bestFit="1" customWidth="1"/>
    <col min="14866" max="14866" width="7.875" style="1" bestFit="1" customWidth="1"/>
    <col min="14867" max="15104" width="11.625" style="1"/>
    <col min="15105" max="15105" width="4" style="1" customWidth="1"/>
    <col min="15106" max="15106" width="2.625" style="1" customWidth="1"/>
    <col min="15107" max="15107" width="8.625" style="1" bestFit="1" customWidth="1"/>
    <col min="15108" max="15108" width="9.875" style="1" customWidth="1"/>
    <col min="15109" max="15113" width="7.5" style="1" customWidth="1"/>
    <col min="15114" max="15114" width="8" style="1" customWidth="1"/>
    <col min="15115" max="15118" width="7.5" style="1" customWidth="1"/>
    <col min="15119" max="15119" width="8" style="1" bestFit="1" customWidth="1"/>
    <col min="15120" max="15121" width="10" style="1" bestFit="1" customWidth="1"/>
    <col min="15122" max="15122" width="7.875" style="1" bestFit="1" customWidth="1"/>
    <col min="15123" max="15360" width="11.625" style="1"/>
    <col min="15361" max="15361" width="4" style="1" customWidth="1"/>
    <col min="15362" max="15362" width="2.625" style="1" customWidth="1"/>
    <col min="15363" max="15363" width="8.625" style="1" bestFit="1" customWidth="1"/>
    <col min="15364" max="15364" width="9.875" style="1" customWidth="1"/>
    <col min="15365" max="15369" width="7.5" style="1" customWidth="1"/>
    <col min="15370" max="15370" width="8" style="1" customWidth="1"/>
    <col min="15371" max="15374" width="7.5" style="1" customWidth="1"/>
    <col min="15375" max="15375" width="8" style="1" bestFit="1" customWidth="1"/>
    <col min="15376" max="15377" width="10" style="1" bestFit="1" customWidth="1"/>
    <col min="15378" max="15378" width="7.875" style="1" bestFit="1" customWidth="1"/>
    <col min="15379" max="15616" width="11.625" style="1"/>
    <col min="15617" max="15617" width="4" style="1" customWidth="1"/>
    <col min="15618" max="15618" width="2.625" style="1" customWidth="1"/>
    <col min="15619" max="15619" width="8.625" style="1" bestFit="1" customWidth="1"/>
    <col min="15620" max="15620" width="9.875" style="1" customWidth="1"/>
    <col min="15621" max="15625" width="7.5" style="1" customWidth="1"/>
    <col min="15626" max="15626" width="8" style="1" customWidth="1"/>
    <col min="15627" max="15630" width="7.5" style="1" customWidth="1"/>
    <col min="15631" max="15631" width="8" style="1" bestFit="1" customWidth="1"/>
    <col min="15632" max="15633" width="10" style="1" bestFit="1" customWidth="1"/>
    <col min="15634" max="15634" width="7.875" style="1" bestFit="1" customWidth="1"/>
    <col min="15635" max="15872" width="11.625" style="1"/>
    <col min="15873" max="15873" width="4" style="1" customWidth="1"/>
    <col min="15874" max="15874" width="2.625" style="1" customWidth="1"/>
    <col min="15875" max="15875" width="8.625" style="1" bestFit="1" customWidth="1"/>
    <col min="15876" max="15876" width="9.875" style="1" customWidth="1"/>
    <col min="15877" max="15881" width="7.5" style="1" customWidth="1"/>
    <col min="15882" max="15882" width="8" style="1" customWidth="1"/>
    <col min="15883" max="15886" width="7.5" style="1" customWidth="1"/>
    <col min="15887" max="15887" width="8" style="1" bestFit="1" customWidth="1"/>
    <col min="15888" max="15889" width="10" style="1" bestFit="1" customWidth="1"/>
    <col min="15890" max="15890" width="7.875" style="1" bestFit="1" customWidth="1"/>
    <col min="15891" max="16128" width="11.625" style="1"/>
    <col min="16129" max="16129" width="4" style="1" customWidth="1"/>
    <col min="16130" max="16130" width="2.625" style="1" customWidth="1"/>
    <col min="16131" max="16131" width="8.625" style="1" bestFit="1" customWidth="1"/>
    <col min="16132" max="16132" width="9.875" style="1" customWidth="1"/>
    <col min="16133" max="16137" width="7.5" style="1" customWidth="1"/>
    <col min="16138" max="16138" width="8" style="1" customWidth="1"/>
    <col min="16139" max="16142" width="7.5" style="1" customWidth="1"/>
    <col min="16143" max="16143" width="8" style="1" bestFit="1" customWidth="1"/>
    <col min="16144" max="16145" width="10" style="1" bestFit="1" customWidth="1"/>
    <col min="16146" max="16146" width="7.875" style="1" bestFit="1" customWidth="1"/>
    <col min="16147" max="16384" width="11.625" style="1"/>
  </cols>
  <sheetData>
    <row r="1" spans="1:18" s="4" customFormat="1" ht="14.25">
      <c r="A1" s="25" t="s">
        <v>165</v>
      </c>
    </row>
    <row r="3" spans="1:18" ht="15" customHeight="1">
      <c r="A3" s="167"/>
      <c r="B3" s="167"/>
      <c r="C3" s="167"/>
      <c r="D3" s="125"/>
      <c r="E3" s="125"/>
      <c r="F3" s="57" t="s">
        <v>59</v>
      </c>
      <c r="G3" s="57" t="s">
        <v>60</v>
      </c>
      <c r="H3" s="125"/>
      <c r="I3" s="57" t="s">
        <v>166</v>
      </c>
      <c r="J3" s="58" t="s">
        <v>167</v>
      </c>
      <c r="K3" s="58" t="s">
        <v>61</v>
      </c>
      <c r="L3" s="58" t="s">
        <v>62</v>
      </c>
      <c r="M3" s="58" t="s">
        <v>63</v>
      </c>
      <c r="N3" s="57"/>
    </row>
    <row r="4" spans="1:18" ht="15" customHeight="1">
      <c r="A4" s="168"/>
      <c r="B4" s="168"/>
      <c r="C4" s="168"/>
      <c r="D4" s="126" t="s">
        <v>168</v>
      </c>
      <c r="E4" s="59" t="s">
        <v>169</v>
      </c>
      <c r="F4" s="59"/>
      <c r="G4" s="59"/>
      <c r="H4" s="59" t="s">
        <v>64</v>
      </c>
      <c r="I4" s="59"/>
      <c r="J4" s="60"/>
      <c r="K4" s="60"/>
      <c r="L4" s="60"/>
      <c r="M4" s="60"/>
      <c r="N4" s="59" t="s">
        <v>65</v>
      </c>
    </row>
    <row r="5" spans="1:18" ht="15" customHeight="1">
      <c r="A5" s="169"/>
      <c r="B5" s="169"/>
      <c r="C5" s="169"/>
      <c r="D5" s="127"/>
      <c r="E5" s="127"/>
      <c r="F5" s="61" t="s">
        <v>170</v>
      </c>
      <c r="G5" s="61" t="s">
        <v>170</v>
      </c>
      <c r="H5" s="127"/>
      <c r="I5" s="61" t="s">
        <v>170</v>
      </c>
      <c r="J5" s="62" t="s">
        <v>170</v>
      </c>
      <c r="K5" s="62" t="s">
        <v>170</v>
      </c>
      <c r="L5" s="62" t="s">
        <v>66</v>
      </c>
      <c r="M5" s="62" t="s">
        <v>170</v>
      </c>
      <c r="N5" s="61"/>
    </row>
    <row r="6" spans="1:18" ht="15" customHeight="1">
      <c r="A6" s="130" t="s">
        <v>67</v>
      </c>
      <c r="B6" s="50"/>
      <c r="C6" s="51" t="s">
        <v>68</v>
      </c>
      <c r="D6" s="53">
        <v>9083</v>
      </c>
      <c r="E6" s="47">
        <v>2</v>
      </c>
      <c r="F6" s="53">
        <v>18</v>
      </c>
      <c r="G6" s="52">
        <v>53</v>
      </c>
      <c r="H6" s="52">
        <v>156</v>
      </c>
      <c r="I6" s="52">
        <v>22</v>
      </c>
      <c r="J6" s="54">
        <v>8623</v>
      </c>
      <c r="K6" s="53">
        <v>5</v>
      </c>
      <c r="L6" s="55">
        <v>39</v>
      </c>
      <c r="M6" s="54">
        <v>139</v>
      </c>
      <c r="N6" s="52">
        <v>26</v>
      </c>
      <c r="O6" s="23"/>
      <c r="P6" s="23"/>
      <c r="Q6" s="23"/>
      <c r="R6" s="23"/>
    </row>
    <row r="7" spans="1:18" ht="15" customHeight="1">
      <c r="A7" s="128"/>
      <c r="C7" s="51" t="s">
        <v>139</v>
      </c>
      <c r="D7" s="52">
        <v>24411430</v>
      </c>
      <c r="E7" s="52">
        <v>751</v>
      </c>
      <c r="F7" s="52">
        <v>17704</v>
      </c>
      <c r="G7" s="52">
        <v>3639</v>
      </c>
      <c r="H7" s="52">
        <v>114206</v>
      </c>
      <c r="I7" s="52">
        <v>62452</v>
      </c>
      <c r="J7" s="52">
        <v>23948174</v>
      </c>
      <c r="K7" s="52">
        <v>4773</v>
      </c>
      <c r="L7" s="52">
        <v>38592</v>
      </c>
      <c r="M7" s="52">
        <v>199943</v>
      </c>
      <c r="N7" s="52">
        <v>21195</v>
      </c>
      <c r="O7" s="23"/>
      <c r="P7" s="23"/>
      <c r="Q7" s="23"/>
      <c r="R7" s="23"/>
    </row>
    <row r="8" spans="1:18" ht="15" customHeight="1">
      <c r="A8" s="131">
        <v>30</v>
      </c>
      <c r="B8" s="41"/>
      <c r="C8" s="42" t="s">
        <v>69</v>
      </c>
      <c r="D8" s="24">
        <v>1730593</v>
      </c>
      <c r="E8" s="56">
        <v>28</v>
      </c>
      <c r="F8" s="83">
        <v>252</v>
      </c>
      <c r="G8" s="43">
        <v>608</v>
      </c>
      <c r="H8" s="43">
        <v>6674</v>
      </c>
      <c r="I8" s="43">
        <v>3697</v>
      </c>
      <c r="J8" s="44">
        <v>1676792</v>
      </c>
      <c r="K8" s="84">
        <v>1364</v>
      </c>
      <c r="L8" s="44">
        <v>6500</v>
      </c>
      <c r="M8" s="44">
        <v>32129</v>
      </c>
      <c r="N8" s="43">
        <v>2549</v>
      </c>
      <c r="O8" s="23"/>
      <c r="P8" s="23"/>
      <c r="Q8" s="23"/>
      <c r="R8" s="23"/>
    </row>
    <row r="9" spans="1:18" ht="15" customHeight="1">
      <c r="A9" s="131"/>
      <c r="B9" s="41"/>
      <c r="C9" s="42" t="s">
        <v>70</v>
      </c>
      <c r="D9" s="24">
        <v>12343547</v>
      </c>
      <c r="E9" s="24">
        <v>664</v>
      </c>
      <c r="F9" s="24">
        <v>13644</v>
      </c>
      <c r="G9" s="43">
        <v>2716</v>
      </c>
      <c r="H9" s="43">
        <v>98926</v>
      </c>
      <c r="I9" s="43">
        <v>44059</v>
      </c>
      <c r="J9" s="44">
        <v>11968453</v>
      </c>
      <c r="K9" s="44">
        <v>3234</v>
      </c>
      <c r="L9" s="44">
        <v>31170</v>
      </c>
      <c r="M9" s="44">
        <v>164358</v>
      </c>
      <c r="N9" s="24">
        <v>16323</v>
      </c>
      <c r="O9" s="23"/>
      <c r="P9" s="23"/>
      <c r="Q9" s="23"/>
      <c r="R9" s="23"/>
    </row>
    <row r="10" spans="1:18" ht="15" customHeight="1">
      <c r="A10" s="128" t="s">
        <v>71</v>
      </c>
      <c r="B10" s="41"/>
      <c r="C10" s="42" t="s">
        <v>72</v>
      </c>
      <c r="D10" s="24">
        <v>10083001</v>
      </c>
      <c r="E10" s="24">
        <v>0</v>
      </c>
      <c r="F10" s="24">
        <v>3468</v>
      </c>
      <c r="G10" s="24">
        <v>0</v>
      </c>
      <c r="H10" s="43">
        <v>5368</v>
      </c>
      <c r="I10" s="43">
        <v>14405</v>
      </c>
      <c r="J10" s="44">
        <v>10057207</v>
      </c>
      <c r="K10" s="24">
        <v>0</v>
      </c>
      <c r="L10" s="24">
        <v>254</v>
      </c>
      <c r="M10" s="24">
        <v>0</v>
      </c>
      <c r="N10" s="43">
        <v>2299</v>
      </c>
      <c r="O10" s="23"/>
      <c r="P10" s="23"/>
      <c r="Q10" s="23"/>
      <c r="R10" s="23"/>
    </row>
    <row r="11" spans="1:18" ht="15" customHeight="1">
      <c r="A11" s="129"/>
      <c r="B11" s="45"/>
      <c r="C11" s="46" t="s">
        <v>73</v>
      </c>
      <c r="D11" s="24">
        <v>254289</v>
      </c>
      <c r="E11" s="47">
        <v>59</v>
      </c>
      <c r="F11" s="47">
        <v>339</v>
      </c>
      <c r="G11" s="48">
        <v>315</v>
      </c>
      <c r="H11" s="48">
        <v>3238</v>
      </c>
      <c r="I11" s="48">
        <v>291</v>
      </c>
      <c r="J11" s="49">
        <v>245722</v>
      </c>
      <c r="K11" s="49">
        <v>175</v>
      </c>
      <c r="L11" s="49">
        <v>668</v>
      </c>
      <c r="M11" s="49">
        <v>3456</v>
      </c>
      <c r="N11" s="47">
        <v>24</v>
      </c>
      <c r="O11" s="23"/>
      <c r="P11" s="23"/>
      <c r="Q11" s="23"/>
      <c r="R11" s="23"/>
    </row>
    <row r="12" spans="1:18" ht="15" customHeight="1">
      <c r="A12" s="130" t="s">
        <v>195</v>
      </c>
      <c r="B12" s="50"/>
      <c r="C12" s="51" t="s">
        <v>68</v>
      </c>
      <c r="D12" s="53">
        <v>9069</v>
      </c>
      <c r="E12" s="47">
        <v>0</v>
      </c>
      <c r="F12" s="53">
        <v>12</v>
      </c>
      <c r="G12" s="52">
        <v>42</v>
      </c>
      <c r="H12" s="52">
        <v>189</v>
      </c>
      <c r="I12" s="52">
        <v>23</v>
      </c>
      <c r="J12" s="54">
        <v>8578</v>
      </c>
      <c r="K12" s="53">
        <v>4</v>
      </c>
      <c r="L12" s="55">
        <v>31</v>
      </c>
      <c r="M12" s="54">
        <v>157</v>
      </c>
      <c r="N12" s="52">
        <v>33</v>
      </c>
      <c r="O12" s="23"/>
      <c r="P12" s="23"/>
      <c r="Q12" s="23"/>
      <c r="R12" s="23"/>
    </row>
    <row r="13" spans="1:18" ht="15" customHeight="1">
      <c r="A13" s="128"/>
      <c r="C13" s="51" t="s">
        <v>139</v>
      </c>
      <c r="D13" s="52">
        <v>27596529</v>
      </c>
      <c r="E13" s="52">
        <v>0</v>
      </c>
      <c r="F13" s="52">
        <v>14351</v>
      </c>
      <c r="G13" s="52">
        <v>2500</v>
      </c>
      <c r="H13" s="52">
        <v>126772</v>
      </c>
      <c r="I13" s="52">
        <v>15540</v>
      </c>
      <c r="J13" s="52">
        <v>27152764</v>
      </c>
      <c r="K13" s="52">
        <v>5719</v>
      </c>
      <c r="L13" s="52">
        <v>37066</v>
      </c>
      <c r="M13" s="52">
        <v>221327</v>
      </c>
      <c r="N13" s="52">
        <v>20490</v>
      </c>
      <c r="O13" s="23"/>
      <c r="P13" s="23"/>
      <c r="Q13" s="23"/>
      <c r="R13" s="23"/>
    </row>
    <row r="14" spans="1:18" ht="15" customHeight="1">
      <c r="A14" s="131" t="s">
        <v>192</v>
      </c>
      <c r="B14" s="41"/>
      <c r="C14" s="42" t="s">
        <v>69</v>
      </c>
      <c r="D14" s="24">
        <v>1715635</v>
      </c>
      <c r="E14" s="56">
        <v>0</v>
      </c>
      <c r="F14" s="83">
        <v>429</v>
      </c>
      <c r="G14" s="43">
        <v>417</v>
      </c>
      <c r="H14" s="43">
        <v>6004</v>
      </c>
      <c r="I14" s="43">
        <v>641</v>
      </c>
      <c r="J14" s="44">
        <v>1660748</v>
      </c>
      <c r="K14" s="84">
        <v>1502</v>
      </c>
      <c r="L14" s="44">
        <v>5867</v>
      </c>
      <c r="M14" s="44">
        <v>34626</v>
      </c>
      <c r="N14" s="43">
        <v>5401</v>
      </c>
      <c r="O14" s="23"/>
      <c r="P14" s="23"/>
      <c r="Q14" s="23"/>
      <c r="R14" s="23"/>
    </row>
    <row r="15" spans="1:18" ht="15" customHeight="1">
      <c r="A15" s="131"/>
      <c r="B15" s="41"/>
      <c r="C15" s="42" t="s">
        <v>70</v>
      </c>
      <c r="D15" s="24">
        <v>15234278</v>
      </c>
      <c r="E15" s="24">
        <v>0</v>
      </c>
      <c r="F15" s="24">
        <v>13780</v>
      </c>
      <c r="G15" s="43">
        <v>1833</v>
      </c>
      <c r="H15" s="43">
        <v>99477</v>
      </c>
      <c r="I15" s="43">
        <v>14468</v>
      </c>
      <c r="J15" s="44">
        <v>14877061</v>
      </c>
      <c r="K15" s="44">
        <v>4049</v>
      </c>
      <c r="L15" s="44">
        <v>30172</v>
      </c>
      <c r="M15" s="44">
        <v>182694</v>
      </c>
      <c r="N15" s="24">
        <v>10744</v>
      </c>
      <c r="O15" s="23"/>
      <c r="P15" s="23"/>
      <c r="Q15" s="23"/>
      <c r="R15" s="23"/>
    </row>
    <row r="16" spans="1:18" ht="15" customHeight="1">
      <c r="A16" s="128" t="s">
        <v>71</v>
      </c>
      <c r="B16" s="41"/>
      <c r="C16" s="42" t="s">
        <v>72</v>
      </c>
      <c r="D16" s="24">
        <v>10386444</v>
      </c>
      <c r="E16" s="24">
        <v>0</v>
      </c>
      <c r="F16" s="24">
        <v>0</v>
      </c>
      <c r="G16" s="24">
        <v>28</v>
      </c>
      <c r="H16" s="43">
        <v>18196</v>
      </c>
      <c r="I16" s="43">
        <v>0</v>
      </c>
      <c r="J16" s="44">
        <v>10363123</v>
      </c>
      <c r="K16" s="24">
        <v>0</v>
      </c>
      <c r="L16" s="24">
        <v>375</v>
      </c>
      <c r="M16" s="24">
        <v>470</v>
      </c>
      <c r="N16" s="43">
        <v>4253</v>
      </c>
      <c r="O16" s="23"/>
      <c r="P16" s="23"/>
      <c r="Q16" s="23"/>
      <c r="R16" s="23"/>
    </row>
    <row r="17" spans="1:18" ht="15" customHeight="1">
      <c r="A17" s="129"/>
      <c r="B17" s="45"/>
      <c r="C17" s="46" t="s">
        <v>73</v>
      </c>
      <c r="D17" s="24">
        <v>260171</v>
      </c>
      <c r="E17" s="47">
        <v>0</v>
      </c>
      <c r="F17" s="47">
        <v>141</v>
      </c>
      <c r="G17" s="48">
        <v>222</v>
      </c>
      <c r="H17" s="48">
        <v>3095</v>
      </c>
      <c r="I17" s="48">
        <v>432</v>
      </c>
      <c r="J17" s="49">
        <v>251832</v>
      </c>
      <c r="K17" s="49">
        <v>168</v>
      </c>
      <c r="L17" s="49">
        <v>652</v>
      </c>
      <c r="M17" s="49">
        <v>3538</v>
      </c>
      <c r="N17" s="47">
        <v>92</v>
      </c>
      <c r="O17" s="23"/>
      <c r="P17" s="23"/>
      <c r="Q17" s="23"/>
      <c r="R17" s="23"/>
    </row>
    <row r="18" spans="1:18" ht="15" customHeight="1">
      <c r="A18" s="130" t="s">
        <v>195</v>
      </c>
      <c r="B18" s="50"/>
      <c r="C18" s="51" t="s">
        <v>68</v>
      </c>
      <c r="D18" s="53">
        <v>9270</v>
      </c>
      <c r="E18" s="47">
        <v>2</v>
      </c>
      <c r="F18" s="53">
        <v>20</v>
      </c>
      <c r="G18" s="52">
        <v>43</v>
      </c>
      <c r="H18" s="52">
        <v>168</v>
      </c>
      <c r="I18" s="52">
        <v>28</v>
      </c>
      <c r="J18" s="54">
        <v>8754</v>
      </c>
      <c r="K18" s="53">
        <v>3</v>
      </c>
      <c r="L18" s="55">
        <v>32</v>
      </c>
      <c r="M18" s="54">
        <v>164</v>
      </c>
      <c r="N18" s="52">
        <v>56</v>
      </c>
      <c r="O18" s="23"/>
      <c r="P18" s="23"/>
      <c r="Q18" s="23"/>
      <c r="R18" s="23"/>
    </row>
    <row r="19" spans="1:18" ht="15" customHeight="1">
      <c r="A19" s="128"/>
      <c r="C19" s="51" t="s">
        <v>139</v>
      </c>
      <c r="D19" s="52">
        <v>25249582</v>
      </c>
      <c r="E19" s="52">
        <v>294</v>
      </c>
      <c r="F19" s="52">
        <v>10871</v>
      </c>
      <c r="G19" s="52">
        <v>1940</v>
      </c>
      <c r="H19" s="52">
        <v>108017</v>
      </c>
      <c r="I19" s="52">
        <v>46547</v>
      </c>
      <c r="J19" s="52">
        <v>24761111</v>
      </c>
      <c r="K19" s="52">
        <v>4037</v>
      </c>
      <c r="L19" s="52">
        <v>19636</v>
      </c>
      <c r="M19" s="52">
        <v>268569</v>
      </c>
      <c r="N19" s="52">
        <v>28560</v>
      </c>
      <c r="O19" s="23"/>
      <c r="P19" s="23"/>
      <c r="Q19" s="23"/>
      <c r="R19" s="23"/>
    </row>
    <row r="20" spans="1:18" ht="15" customHeight="1">
      <c r="A20" s="131">
        <v>2</v>
      </c>
      <c r="B20" s="41"/>
      <c r="C20" s="42" t="s">
        <v>69</v>
      </c>
      <c r="D20" s="24">
        <v>1625251</v>
      </c>
      <c r="E20" s="56">
        <v>59</v>
      </c>
      <c r="F20" s="83">
        <v>494</v>
      </c>
      <c r="G20" s="43">
        <v>357</v>
      </c>
      <c r="H20" s="43">
        <v>4121</v>
      </c>
      <c r="I20" s="43">
        <v>1646</v>
      </c>
      <c r="J20" s="44">
        <v>1561746</v>
      </c>
      <c r="K20" s="84">
        <v>979</v>
      </c>
      <c r="L20" s="44">
        <v>4237</v>
      </c>
      <c r="M20" s="44">
        <v>46195</v>
      </c>
      <c r="N20" s="43">
        <v>5418</v>
      </c>
      <c r="O20" s="23"/>
      <c r="P20" s="23"/>
      <c r="Q20" s="23"/>
      <c r="R20" s="23"/>
    </row>
    <row r="21" spans="1:18" ht="15" customHeight="1">
      <c r="A21" s="131"/>
      <c r="B21" s="41"/>
      <c r="C21" s="42" t="s">
        <v>70</v>
      </c>
      <c r="D21" s="24">
        <v>13504731</v>
      </c>
      <c r="E21" s="24">
        <v>206</v>
      </c>
      <c r="F21" s="24">
        <v>10299</v>
      </c>
      <c r="G21" s="43">
        <v>1414</v>
      </c>
      <c r="H21" s="43">
        <v>94535</v>
      </c>
      <c r="I21" s="43">
        <v>34721</v>
      </c>
      <c r="J21" s="44">
        <v>13112547</v>
      </c>
      <c r="K21" s="44">
        <v>2938</v>
      </c>
      <c r="L21" s="44">
        <v>14676</v>
      </c>
      <c r="M21" s="44">
        <v>215902</v>
      </c>
      <c r="N21" s="24">
        <v>17494</v>
      </c>
      <c r="O21" s="23"/>
      <c r="P21" s="23"/>
      <c r="Q21" s="23"/>
      <c r="R21" s="23"/>
    </row>
    <row r="22" spans="1:18" ht="15" customHeight="1">
      <c r="A22" s="128" t="s">
        <v>71</v>
      </c>
      <c r="B22" s="41"/>
      <c r="C22" s="42" t="s">
        <v>72</v>
      </c>
      <c r="D22" s="24">
        <v>9868610</v>
      </c>
      <c r="E22" s="24">
        <v>0</v>
      </c>
      <c r="F22" s="24">
        <v>0</v>
      </c>
      <c r="G22" s="24">
        <v>0</v>
      </c>
      <c r="H22" s="43">
        <v>5735</v>
      </c>
      <c r="I22" s="43">
        <v>9788</v>
      </c>
      <c r="J22" s="44">
        <v>9844587</v>
      </c>
      <c r="K22" s="24">
        <v>0</v>
      </c>
      <c r="L22" s="24">
        <v>267</v>
      </c>
      <c r="M22" s="24">
        <v>2672</v>
      </c>
      <c r="N22" s="43">
        <v>5562</v>
      </c>
      <c r="O22" s="23"/>
      <c r="P22" s="23"/>
      <c r="Q22" s="23"/>
      <c r="R22" s="23"/>
    </row>
    <row r="23" spans="1:18" ht="15" customHeight="1">
      <c r="A23" s="129"/>
      <c r="B23" s="45"/>
      <c r="C23" s="46" t="s">
        <v>73</v>
      </c>
      <c r="D23" s="24">
        <v>250990</v>
      </c>
      <c r="E23" s="47">
        <v>29</v>
      </c>
      <c r="F23" s="47">
        <v>77</v>
      </c>
      <c r="G23" s="48">
        <v>170</v>
      </c>
      <c r="H23" s="48">
        <v>3627</v>
      </c>
      <c r="I23" s="48">
        <v>392</v>
      </c>
      <c r="J23" s="49">
        <v>242231</v>
      </c>
      <c r="K23" s="49">
        <v>120</v>
      </c>
      <c r="L23" s="49">
        <v>457</v>
      </c>
      <c r="M23" s="49">
        <v>3800</v>
      </c>
      <c r="N23" s="47">
        <v>87</v>
      </c>
      <c r="O23" s="23"/>
      <c r="P23" s="23"/>
      <c r="Q23" s="23"/>
      <c r="R23" s="23"/>
    </row>
    <row r="24" spans="1:18" ht="15" customHeight="1">
      <c r="A24" s="130" t="s">
        <v>195</v>
      </c>
      <c r="B24" s="50"/>
      <c r="C24" s="51" t="s">
        <v>68</v>
      </c>
      <c r="D24" s="53">
        <v>9017</v>
      </c>
      <c r="E24" s="47">
        <v>3</v>
      </c>
      <c r="F24" s="53">
        <v>22</v>
      </c>
      <c r="G24" s="52">
        <v>43</v>
      </c>
      <c r="H24" s="52">
        <v>190</v>
      </c>
      <c r="I24" s="52">
        <v>16</v>
      </c>
      <c r="J24" s="54">
        <v>8503</v>
      </c>
      <c r="K24" s="53">
        <v>3</v>
      </c>
      <c r="L24" s="55">
        <v>29</v>
      </c>
      <c r="M24" s="54">
        <v>149</v>
      </c>
      <c r="N24" s="52">
        <v>59</v>
      </c>
      <c r="O24" s="23"/>
      <c r="P24" s="23"/>
      <c r="Q24" s="23"/>
      <c r="R24" s="23"/>
    </row>
    <row r="25" spans="1:18" ht="15" customHeight="1">
      <c r="A25" s="128"/>
      <c r="C25" s="51" t="s">
        <v>139</v>
      </c>
      <c r="D25" s="52">
        <v>22801981</v>
      </c>
      <c r="E25" s="52">
        <v>671</v>
      </c>
      <c r="F25" s="52">
        <v>33581</v>
      </c>
      <c r="G25" s="52">
        <v>1488</v>
      </c>
      <c r="H25" s="52">
        <v>125025</v>
      </c>
      <c r="I25" s="52">
        <v>34364</v>
      </c>
      <c r="J25" s="52">
        <v>22305586</v>
      </c>
      <c r="K25" s="52">
        <v>3295</v>
      </c>
      <c r="L25" s="52">
        <v>20624</v>
      </c>
      <c r="M25" s="52">
        <v>253962</v>
      </c>
      <c r="N25" s="52">
        <v>23389</v>
      </c>
      <c r="O25" s="23"/>
      <c r="P25" s="23"/>
      <c r="Q25" s="23"/>
      <c r="R25" s="23"/>
    </row>
    <row r="26" spans="1:18" ht="15" customHeight="1">
      <c r="A26" s="131">
        <v>3</v>
      </c>
      <c r="B26" s="41"/>
      <c r="C26" s="42" t="s">
        <v>69</v>
      </c>
      <c r="D26" s="24">
        <v>1542742</v>
      </c>
      <c r="E26" s="56">
        <v>32</v>
      </c>
      <c r="F26" s="83">
        <v>4323</v>
      </c>
      <c r="G26" s="43">
        <v>335</v>
      </c>
      <c r="H26" s="43">
        <v>6791</v>
      </c>
      <c r="I26" s="43">
        <v>4186</v>
      </c>
      <c r="J26" s="44">
        <v>1472551</v>
      </c>
      <c r="K26" s="84">
        <v>869</v>
      </c>
      <c r="L26" s="44">
        <v>4494</v>
      </c>
      <c r="M26" s="44">
        <v>44552</v>
      </c>
      <c r="N26" s="43">
        <v>4615</v>
      </c>
      <c r="O26" s="23"/>
      <c r="P26" s="23"/>
      <c r="Q26" s="23"/>
      <c r="R26" s="23"/>
    </row>
    <row r="27" spans="1:18" ht="15" customHeight="1">
      <c r="A27" s="131"/>
      <c r="B27" s="41"/>
      <c r="C27" s="42" t="s">
        <v>70</v>
      </c>
      <c r="D27" s="24">
        <v>11420477</v>
      </c>
      <c r="E27" s="24">
        <v>580</v>
      </c>
      <c r="F27" s="24">
        <v>25592</v>
      </c>
      <c r="G27" s="43">
        <v>1036</v>
      </c>
      <c r="H27" s="43">
        <v>96428</v>
      </c>
      <c r="I27" s="43">
        <v>14800</v>
      </c>
      <c r="J27" s="44">
        <v>11049594</v>
      </c>
      <c r="K27" s="44">
        <v>2307</v>
      </c>
      <c r="L27" s="44">
        <v>15490</v>
      </c>
      <c r="M27" s="44">
        <v>202868</v>
      </c>
      <c r="N27" s="24">
        <v>11787</v>
      </c>
      <c r="O27" s="23"/>
      <c r="P27" s="23"/>
      <c r="Q27" s="23"/>
      <c r="R27" s="23"/>
    </row>
    <row r="28" spans="1:18" ht="15" customHeight="1">
      <c r="A28" s="128" t="s">
        <v>71</v>
      </c>
      <c r="B28" s="41"/>
      <c r="C28" s="42" t="s">
        <v>72</v>
      </c>
      <c r="D28" s="24">
        <v>9586831</v>
      </c>
      <c r="E28" s="24">
        <v>0</v>
      </c>
      <c r="F28" s="24">
        <v>3387</v>
      </c>
      <c r="G28" s="24">
        <v>0</v>
      </c>
      <c r="H28" s="43">
        <v>18669</v>
      </c>
      <c r="I28" s="43">
        <v>15187</v>
      </c>
      <c r="J28" s="44">
        <v>9539794</v>
      </c>
      <c r="K28" s="24">
        <v>0</v>
      </c>
      <c r="L28" s="24">
        <v>111</v>
      </c>
      <c r="M28" s="24">
        <v>2819</v>
      </c>
      <c r="N28" s="43">
        <v>6867</v>
      </c>
      <c r="O28" s="23"/>
      <c r="P28" s="23"/>
      <c r="Q28" s="23"/>
      <c r="R28" s="23"/>
    </row>
    <row r="29" spans="1:18" ht="15" customHeight="1">
      <c r="A29" s="129"/>
      <c r="B29" s="45"/>
      <c r="C29" s="46" t="s">
        <v>73</v>
      </c>
      <c r="D29" s="24">
        <v>251932</v>
      </c>
      <c r="E29" s="47">
        <v>60</v>
      </c>
      <c r="F29" s="47">
        <v>281</v>
      </c>
      <c r="G29" s="48">
        <v>118</v>
      </c>
      <c r="H29" s="48">
        <v>3139</v>
      </c>
      <c r="I29" s="48">
        <v>193</v>
      </c>
      <c r="J29" s="49">
        <v>243648</v>
      </c>
      <c r="K29" s="49">
        <v>120</v>
      </c>
      <c r="L29" s="49">
        <v>531</v>
      </c>
      <c r="M29" s="49">
        <v>3725</v>
      </c>
      <c r="N29" s="47">
        <v>121</v>
      </c>
      <c r="O29" s="23"/>
      <c r="P29" s="23"/>
      <c r="Q29" s="23"/>
      <c r="R29" s="23"/>
    </row>
    <row r="30" spans="1:18" ht="15" customHeight="1">
      <c r="A30" s="130" t="s">
        <v>195</v>
      </c>
      <c r="B30" s="50"/>
      <c r="C30" s="51" t="s">
        <v>68</v>
      </c>
      <c r="D30" s="53">
        <v>9429</v>
      </c>
      <c r="E30" s="47">
        <v>3</v>
      </c>
      <c r="F30" s="53">
        <v>25</v>
      </c>
      <c r="G30" s="52">
        <v>53</v>
      </c>
      <c r="H30" s="52">
        <v>184</v>
      </c>
      <c r="I30" s="52">
        <v>42</v>
      </c>
      <c r="J30" s="54">
        <v>8842</v>
      </c>
      <c r="K30" s="53">
        <v>4</v>
      </c>
      <c r="L30" s="55">
        <v>31</v>
      </c>
      <c r="M30" s="54">
        <v>173</v>
      </c>
      <c r="N30" s="52">
        <v>72</v>
      </c>
      <c r="O30" s="23"/>
      <c r="P30" s="23"/>
      <c r="Q30" s="23"/>
      <c r="R30" s="23"/>
    </row>
    <row r="31" spans="1:18" ht="15" customHeight="1">
      <c r="A31" s="128"/>
      <c r="C31" s="51" t="s">
        <v>139</v>
      </c>
      <c r="D31" s="52">
        <v>22603647</v>
      </c>
      <c r="E31" s="52">
        <v>201</v>
      </c>
      <c r="F31" s="52">
        <v>19040</v>
      </c>
      <c r="G31" s="52">
        <v>2987</v>
      </c>
      <c r="H31" s="52">
        <v>90525</v>
      </c>
      <c r="I31" s="52">
        <v>89436</v>
      </c>
      <c r="J31" s="52">
        <v>22088742</v>
      </c>
      <c r="K31" s="52">
        <v>5552</v>
      </c>
      <c r="L31" s="52">
        <v>22872</v>
      </c>
      <c r="M31" s="52">
        <v>256582</v>
      </c>
      <c r="N31" s="52">
        <v>27714</v>
      </c>
      <c r="O31" s="23"/>
      <c r="P31" s="23"/>
      <c r="Q31" s="23"/>
      <c r="R31" s="23"/>
    </row>
    <row r="32" spans="1:18" ht="15" customHeight="1">
      <c r="A32" s="131">
        <v>4</v>
      </c>
      <c r="B32" s="41"/>
      <c r="C32" s="42" t="s">
        <v>69</v>
      </c>
      <c r="D32" s="24">
        <v>1568527</v>
      </c>
      <c r="E32" s="56">
        <v>41</v>
      </c>
      <c r="F32" s="83">
        <v>658</v>
      </c>
      <c r="G32" s="43">
        <v>421</v>
      </c>
      <c r="H32" s="43">
        <v>4508</v>
      </c>
      <c r="I32" s="43">
        <v>10697</v>
      </c>
      <c r="J32" s="44">
        <v>1497527</v>
      </c>
      <c r="K32" s="84">
        <v>1057</v>
      </c>
      <c r="L32" s="44">
        <v>4468</v>
      </c>
      <c r="M32" s="44">
        <v>42337</v>
      </c>
      <c r="N32" s="43">
        <v>6818</v>
      </c>
      <c r="O32" s="23"/>
      <c r="P32" s="23"/>
      <c r="Q32" s="23"/>
      <c r="R32" s="23"/>
    </row>
    <row r="33" spans="1:18" ht="15" customHeight="1">
      <c r="A33" s="131"/>
      <c r="B33" s="41"/>
      <c r="C33" s="42" t="s">
        <v>70</v>
      </c>
      <c r="D33" s="24">
        <v>11142755</v>
      </c>
      <c r="E33" s="24">
        <v>141</v>
      </c>
      <c r="F33" s="24">
        <v>14853</v>
      </c>
      <c r="G33" s="43">
        <v>2378</v>
      </c>
      <c r="H33" s="43">
        <v>66110</v>
      </c>
      <c r="I33" s="43">
        <v>35230</v>
      </c>
      <c r="J33" s="44">
        <v>10784033</v>
      </c>
      <c r="K33" s="44">
        <v>4379</v>
      </c>
      <c r="L33" s="44">
        <v>17558</v>
      </c>
      <c r="M33" s="44">
        <v>205053</v>
      </c>
      <c r="N33" s="24">
        <v>13024</v>
      </c>
      <c r="O33" s="23"/>
      <c r="P33" s="23"/>
      <c r="Q33" s="23"/>
      <c r="R33" s="23"/>
    </row>
    <row r="34" spans="1:18" ht="15" customHeight="1">
      <c r="A34" s="128" t="s">
        <v>71</v>
      </c>
      <c r="B34" s="41"/>
      <c r="C34" s="42" t="s">
        <v>72</v>
      </c>
      <c r="D34" s="24">
        <v>9634054</v>
      </c>
      <c r="E34" s="24">
        <v>0</v>
      </c>
      <c r="F34" s="24">
        <v>3459</v>
      </c>
      <c r="G34" s="24">
        <v>0</v>
      </c>
      <c r="H34" s="43">
        <v>17401</v>
      </c>
      <c r="I34" s="43">
        <v>42877</v>
      </c>
      <c r="J34" s="44">
        <v>9556974</v>
      </c>
      <c r="K34" s="24">
        <v>0</v>
      </c>
      <c r="L34" s="24">
        <v>211</v>
      </c>
      <c r="M34" s="24">
        <v>5498</v>
      </c>
      <c r="N34" s="43">
        <v>7637</v>
      </c>
      <c r="O34" s="23"/>
      <c r="P34" s="23"/>
      <c r="Q34" s="23"/>
      <c r="R34" s="23"/>
    </row>
    <row r="35" spans="1:18" ht="15" customHeight="1">
      <c r="A35" s="129"/>
      <c r="B35" s="45"/>
      <c r="C35" s="46" t="s">
        <v>73</v>
      </c>
      <c r="D35" s="24">
        <v>258313</v>
      </c>
      <c r="E35" s="47">
        <v>21</v>
      </c>
      <c r="F35" s="47">
        <v>71</v>
      </c>
      <c r="G35" s="48">
        <v>188</v>
      </c>
      <c r="H35" s="48">
        <v>2508</v>
      </c>
      <c r="I35" s="48">
        <v>633</v>
      </c>
      <c r="J35" s="49">
        <v>250209</v>
      </c>
      <c r="K35" s="49">
        <v>117</v>
      </c>
      <c r="L35" s="49">
        <v>637</v>
      </c>
      <c r="M35" s="49">
        <v>3696</v>
      </c>
      <c r="N35" s="47">
        <v>237</v>
      </c>
      <c r="O35" s="23"/>
      <c r="P35" s="23"/>
      <c r="Q35" s="23"/>
      <c r="R35" s="23"/>
    </row>
    <row r="36" spans="1:18" ht="15" customHeight="1">
      <c r="A36" s="172" t="s">
        <v>195</v>
      </c>
      <c r="B36" s="50"/>
      <c r="C36" s="51" t="s">
        <v>68</v>
      </c>
      <c r="D36" s="53">
        <v>8760</v>
      </c>
      <c r="E36" s="47">
        <v>4</v>
      </c>
      <c r="F36" s="53">
        <v>9</v>
      </c>
      <c r="G36" s="52">
        <v>51</v>
      </c>
      <c r="H36" s="52">
        <v>257</v>
      </c>
      <c r="I36" s="52">
        <v>13</v>
      </c>
      <c r="J36" s="54">
        <v>8157</v>
      </c>
      <c r="K36" s="53">
        <v>4</v>
      </c>
      <c r="L36" s="55">
        <v>37</v>
      </c>
      <c r="M36" s="54">
        <v>167</v>
      </c>
      <c r="N36" s="52">
        <v>61</v>
      </c>
      <c r="O36" s="23"/>
      <c r="P36" s="23"/>
      <c r="Q36" s="23"/>
      <c r="R36" s="23"/>
    </row>
    <row r="37" spans="1:18" ht="15" customHeight="1">
      <c r="A37" s="170"/>
      <c r="C37" s="51" t="s">
        <v>139</v>
      </c>
      <c r="D37" s="52">
        <v>22285158</v>
      </c>
      <c r="E37" s="52">
        <v>999</v>
      </c>
      <c r="F37" s="52">
        <v>7271</v>
      </c>
      <c r="G37" s="52">
        <v>12503</v>
      </c>
      <c r="H37" s="52">
        <v>130951</v>
      </c>
      <c r="I37" s="52">
        <v>17063</v>
      </c>
      <c r="J37" s="52">
        <v>21775688</v>
      </c>
      <c r="K37" s="52">
        <v>3781</v>
      </c>
      <c r="L37" s="52">
        <v>51461</v>
      </c>
      <c r="M37" s="52">
        <v>259541</v>
      </c>
      <c r="N37" s="52">
        <v>25895</v>
      </c>
      <c r="O37" s="23"/>
      <c r="P37" s="23"/>
      <c r="Q37" s="23"/>
      <c r="R37" s="23"/>
    </row>
    <row r="38" spans="1:18" ht="15" customHeight="1">
      <c r="A38" s="173">
        <v>5</v>
      </c>
      <c r="B38" s="41"/>
      <c r="C38" s="42" t="s">
        <v>69</v>
      </c>
      <c r="D38" s="24">
        <v>1596892</v>
      </c>
      <c r="E38" s="56">
        <v>88</v>
      </c>
      <c r="F38" s="83">
        <v>134</v>
      </c>
      <c r="G38" s="43">
        <v>974</v>
      </c>
      <c r="H38" s="43">
        <v>6722</v>
      </c>
      <c r="I38" s="43">
        <v>5227</v>
      </c>
      <c r="J38" s="44">
        <v>1527083</v>
      </c>
      <c r="K38" s="84">
        <v>969</v>
      </c>
      <c r="L38" s="44">
        <v>5987</v>
      </c>
      <c r="M38" s="44">
        <v>42870</v>
      </c>
      <c r="N38" s="43">
        <v>6834</v>
      </c>
      <c r="O38" s="23"/>
      <c r="P38" s="23"/>
      <c r="Q38" s="23"/>
      <c r="R38" s="23"/>
    </row>
    <row r="39" spans="1:18" ht="15" customHeight="1">
      <c r="A39" s="173"/>
      <c r="B39" s="41"/>
      <c r="C39" s="42" t="s">
        <v>70</v>
      </c>
      <c r="D39" s="24">
        <v>10778643</v>
      </c>
      <c r="E39" s="24">
        <v>826</v>
      </c>
      <c r="F39" s="24">
        <v>89</v>
      </c>
      <c r="G39" s="43">
        <v>11288</v>
      </c>
      <c r="H39" s="43">
        <v>114571</v>
      </c>
      <c r="I39" s="43">
        <v>6671</v>
      </c>
      <c r="J39" s="44">
        <v>10384985</v>
      </c>
      <c r="K39" s="44">
        <v>2702</v>
      </c>
      <c r="L39" s="44">
        <v>44209</v>
      </c>
      <c r="M39" s="44">
        <v>200892</v>
      </c>
      <c r="N39" s="24">
        <v>12407</v>
      </c>
      <c r="O39" s="23"/>
      <c r="P39" s="23"/>
      <c r="Q39" s="23"/>
      <c r="R39" s="23"/>
    </row>
    <row r="40" spans="1:18" ht="15" customHeight="1">
      <c r="A40" s="170" t="s">
        <v>71</v>
      </c>
      <c r="B40" s="41"/>
      <c r="C40" s="42" t="s">
        <v>72</v>
      </c>
      <c r="D40" s="24">
        <v>9656076</v>
      </c>
      <c r="E40" s="24">
        <v>0</v>
      </c>
      <c r="F40" s="24">
        <v>7024</v>
      </c>
      <c r="G40" s="24">
        <v>31</v>
      </c>
      <c r="H40" s="43">
        <v>6542</v>
      </c>
      <c r="I40" s="43">
        <v>5032</v>
      </c>
      <c r="J40" s="44">
        <v>9618583</v>
      </c>
      <c r="K40" s="24">
        <v>0</v>
      </c>
      <c r="L40" s="24">
        <v>371</v>
      </c>
      <c r="M40" s="24">
        <v>11978</v>
      </c>
      <c r="N40" s="43">
        <v>6512</v>
      </c>
      <c r="O40" s="23"/>
      <c r="P40" s="23"/>
      <c r="Q40" s="23"/>
      <c r="R40" s="23"/>
    </row>
    <row r="41" spans="1:18" ht="15" customHeight="1">
      <c r="A41" s="171"/>
      <c r="B41" s="45"/>
      <c r="C41" s="46" t="s">
        <v>73</v>
      </c>
      <c r="D41" s="24">
        <v>253545</v>
      </c>
      <c r="E41" s="47">
        <v>84</v>
      </c>
      <c r="F41" s="47">
        <v>22</v>
      </c>
      <c r="G41" s="48">
        <v>209</v>
      </c>
      <c r="H41" s="48">
        <v>3114</v>
      </c>
      <c r="I41" s="48">
        <v>131</v>
      </c>
      <c r="J41" s="49">
        <v>245035</v>
      </c>
      <c r="K41" s="49">
        <v>110</v>
      </c>
      <c r="L41" s="49">
        <v>893</v>
      </c>
      <c r="M41" s="49">
        <v>3800</v>
      </c>
      <c r="N41" s="47">
        <v>141</v>
      </c>
      <c r="O41" s="23"/>
      <c r="P41" s="23"/>
      <c r="Q41" s="23"/>
      <c r="R41" s="23"/>
    </row>
    <row r="42" spans="1:18" ht="15" customHeight="1">
      <c r="A42" s="172" t="s">
        <v>195</v>
      </c>
      <c r="B42" s="50"/>
      <c r="C42" s="51" t="s">
        <v>68</v>
      </c>
      <c r="D42" s="53">
        <v>8924</v>
      </c>
      <c r="E42" s="47">
        <v>2</v>
      </c>
      <c r="F42" s="53">
        <v>22</v>
      </c>
      <c r="G42" s="52">
        <v>75</v>
      </c>
      <c r="H42" s="52">
        <v>260</v>
      </c>
      <c r="I42" s="52">
        <v>22</v>
      </c>
      <c r="J42" s="54">
        <v>8240</v>
      </c>
      <c r="K42" s="53">
        <v>4</v>
      </c>
      <c r="L42" s="55">
        <v>42</v>
      </c>
      <c r="M42" s="54">
        <v>211</v>
      </c>
      <c r="N42" s="52">
        <v>46</v>
      </c>
      <c r="O42" s="23"/>
      <c r="P42" s="23"/>
      <c r="Q42" s="23"/>
      <c r="R42" s="23"/>
    </row>
    <row r="43" spans="1:18" ht="15" customHeight="1">
      <c r="A43" s="170"/>
      <c r="C43" s="51" t="s">
        <v>139</v>
      </c>
      <c r="D43" s="52">
        <v>21117503</v>
      </c>
      <c r="E43" s="52">
        <v>721</v>
      </c>
      <c r="F43" s="52">
        <v>14869</v>
      </c>
      <c r="G43" s="52">
        <v>8108</v>
      </c>
      <c r="H43" s="52">
        <v>135120</v>
      </c>
      <c r="I43" s="52">
        <v>33041</v>
      </c>
      <c r="J43" s="52">
        <v>20596615</v>
      </c>
      <c r="K43" s="52">
        <v>6277</v>
      </c>
      <c r="L43" s="52">
        <v>26226</v>
      </c>
      <c r="M43" s="52">
        <v>280031</v>
      </c>
      <c r="N43" s="52">
        <v>16490</v>
      </c>
      <c r="O43" s="23"/>
      <c r="P43" s="23"/>
      <c r="Q43" s="23"/>
      <c r="R43" s="23"/>
    </row>
    <row r="44" spans="1:18" ht="15" customHeight="1">
      <c r="A44" s="173">
        <v>6</v>
      </c>
      <c r="B44" s="41"/>
      <c r="C44" s="42" t="s">
        <v>69</v>
      </c>
      <c r="D44" s="24">
        <v>1531075</v>
      </c>
      <c r="E44" s="56">
        <v>96</v>
      </c>
      <c r="F44" s="83">
        <v>355</v>
      </c>
      <c r="G44" s="43">
        <v>2121</v>
      </c>
      <c r="H44" s="43">
        <v>7646</v>
      </c>
      <c r="I44" s="43">
        <v>5283</v>
      </c>
      <c r="J44" s="44">
        <v>1453183</v>
      </c>
      <c r="K44" s="84">
        <v>1222</v>
      </c>
      <c r="L44" s="44">
        <v>4764</v>
      </c>
      <c r="M44" s="44">
        <v>54591</v>
      </c>
      <c r="N44" s="43">
        <v>4867</v>
      </c>
      <c r="O44" s="23"/>
      <c r="P44" s="23"/>
      <c r="Q44" s="23"/>
      <c r="R44" s="23"/>
    </row>
    <row r="45" spans="1:18" ht="15" customHeight="1">
      <c r="A45" s="173"/>
      <c r="B45" s="41"/>
      <c r="C45" s="42" t="s">
        <v>70</v>
      </c>
      <c r="D45" s="24">
        <v>10340287</v>
      </c>
      <c r="E45" s="24">
        <v>616</v>
      </c>
      <c r="F45" s="24">
        <v>14406</v>
      </c>
      <c r="G45" s="43">
        <v>5589</v>
      </c>
      <c r="H45" s="43">
        <v>108016</v>
      </c>
      <c r="I45" s="43">
        <v>4331</v>
      </c>
      <c r="J45" s="44">
        <v>9969356</v>
      </c>
      <c r="K45" s="44">
        <v>4929</v>
      </c>
      <c r="L45" s="44">
        <v>20401</v>
      </c>
      <c r="M45" s="44">
        <v>204237</v>
      </c>
      <c r="N45" s="24">
        <v>8402</v>
      </c>
      <c r="O45" s="23"/>
      <c r="P45" s="23"/>
      <c r="Q45" s="23"/>
      <c r="R45" s="23"/>
    </row>
    <row r="46" spans="1:18" ht="15" customHeight="1">
      <c r="A46" s="170" t="s">
        <v>71</v>
      </c>
      <c r="B46" s="41"/>
      <c r="C46" s="42" t="s">
        <v>72</v>
      </c>
      <c r="D46" s="24">
        <v>9054550</v>
      </c>
      <c r="E46" s="24">
        <v>0</v>
      </c>
      <c r="F46" s="24">
        <v>0</v>
      </c>
      <c r="G46" s="24">
        <v>0</v>
      </c>
      <c r="H46" s="43">
        <v>16325</v>
      </c>
      <c r="I46" s="43">
        <v>23234</v>
      </c>
      <c r="J46" s="44">
        <v>8995491</v>
      </c>
      <c r="K46" s="24">
        <v>0</v>
      </c>
      <c r="L46" s="24">
        <v>288</v>
      </c>
      <c r="M46" s="24">
        <v>16021</v>
      </c>
      <c r="N46" s="43">
        <v>3187</v>
      </c>
      <c r="O46" s="23"/>
      <c r="P46" s="23"/>
      <c r="Q46" s="23"/>
      <c r="R46" s="23"/>
    </row>
    <row r="47" spans="1:18" ht="15" customHeight="1">
      <c r="A47" s="171"/>
      <c r="B47" s="45"/>
      <c r="C47" s="46" t="s">
        <v>73</v>
      </c>
      <c r="D47" s="24">
        <v>188531</v>
      </c>
      <c r="E47" s="47">
        <v>8</v>
      </c>
      <c r="F47" s="47">
        <v>107</v>
      </c>
      <c r="G47" s="48">
        <v>398</v>
      </c>
      <c r="H47" s="48">
        <v>3131</v>
      </c>
      <c r="I47" s="48">
        <v>191</v>
      </c>
      <c r="J47" s="49">
        <v>178583</v>
      </c>
      <c r="K47" s="49">
        <v>125</v>
      </c>
      <c r="L47" s="49">
        <v>772</v>
      </c>
      <c r="M47" s="49">
        <v>5180</v>
      </c>
      <c r="N47" s="47">
        <v>33</v>
      </c>
      <c r="O47" s="23"/>
      <c r="P47" s="23"/>
      <c r="Q47" s="23"/>
      <c r="R47" s="23"/>
    </row>
    <row r="48" spans="1:18"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</row>
    <row r="49" spans="3:8" ht="9.4">
      <c r="C49" s="106" t="s">
        <v>201</v>
      </c>
      <c r="H49" s="107"/>
    </row>
  </sheetData>
  <mergeCells count="7">
    <mergeCell ref="A3:C5"/>
    <mergeCell ref="A46:A47"/>
    <mergeCell ref="A36:A37"/>
    <mergeCell ref="A38:A39"/>
    <mergeCell ref="A40:A41"/>
    <mergeCell ref="A42:A43"/>
    <mergeCell ref="A44:A45"/>
  </mergeCells>
  <phoneticPr fontId="2"/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B2C71-DF58-47C3-940D-AB081BC33443}">
  <sheetPr>
    <pageSetUpPr fitToPage="1"/>
  </sheetPr>
  <dimension ref="A1:K49"/>
  <sheetViews>
    <sheetView showGridLines="0" zoomScale="150" zoomScaleNormal="150" zoomScaleSheetLayoutView="75" workbookViewId="0">
      <selection activeCell="H56" sqref="H56"/>
    </sheetView>
  </sheetViews>
  <sheetFormatPr defaultColWidth="11.625" defaultRowHeight="11.25" customHeight="1"/>
  <cols>
    <col min="1" max="1" width="10.125" style="1" customWidth="1"/>
    <col min="2" max="6" width="6.25" style="1" customWidth="1"/>
    <col min="7" max="8" width="7.625" style="1" customWidth="1"/>
    <col min="9" max="11" width="6.25" style="1" customWidth="1"/>
    <col min="12" max="256" width="11.625" style="1"/>
    <col min="257" max="257" width="10.125" style="1" customWidth="1"/>
    <col min="258" max="262" width="6.25" style="1" customWidth="1"/>
    <col min="263" max="264" width="7.625" style="1" customWidth="1"/>
    <col min="265" max="267" width="6.25" style="1" customWidth="1"/>
    <col min="268" max="512" width="11.625" style="1"/>
    <col min="513" max="513" width="10.125" style="1" customWidth="1"/>
    <col min="514" max="518" width="6.25" style="1" customWidth="1"/>
    <col min="519" max="520" width="7.625" style="1" customWidth="1"/>
    <col min="521" max="523" width="6.25" style="1" customWidth="1"/>
    <col min="524" max="768" width="11.625" style="1"/>
    <col min="769" max="769" width="10.125" style="1" customWidth="1"/>
    <col min="770" max="774" width="6.25" style="1" customWidth="1"/>
    <col min="775" max="776" width="7.625" style="1" customWidth="1"/>
    <col min="777" max="779" width="6.25" style="1" customWidth="1"/>
    <col min="780" max="1024" width="11.625" style="1"/>
    <col min="1025" max="1025" width="10.125" style="1" customWidth="1"/>
    <col min="1026" max="1030" width="6.25" style="1" customWidth="1"/>
    <col min="1031" max="1032" width="7.625" style="1" customWidth="1"/>
    <col min="1033" max="1035" width="6.25" style="1" customWidth="1"/>
    <col min="1036" max="1280" width="11.625" style="1"/>
    <col min="1281" max="1281" width="10.125" style="1" customWidth="1"/>
    <col min="1282" max="1286" width="6.25" style="1" customWidth="1"/>
    <col min="1287" max="1288" width="7.625" style="1" customWidth="1"/>
    <col min="1289" max="1291" width="6.25" style="1" customWidth="1"/>
    <col min="1292" max="1536" width="11.625" style="1"/>
    <col min="1537" max="1537" width="10.125" style="1" customWidth="1"/>
    <col min="1538" max="1542" width="6.25" style="1" customWidth="1"/>
    <col min="1543" max="1544" width="7.625" style="1" customWidth="1"/>
    <col min="1545" max="1547" width="6.25" style="1" customWidth="1"/>
    <col min="1548" max="1792" width="11.625" style="1"/>
    <col min="1793" max="1793" width="10.125" style="1" customWidth="1"/>
    <col min="1794" max="1798" width="6.25" style="1" customWidth="1"/>
    <col min="1799" max="1800" width="7.625" style="1" customWidth="1"/>
    <col min="1801" max="1803" width="6.25" style="1" customWidth="1"/>
    <col min="1804" max="2048" width="11.625" style="1"/>
    <col min="2049" max="2049" width="10.125" style="1" customWidth="1"/>
    <col min="2050" max="2054" width="6.25" style="1" customWidth="1"/>
    <col min="2055" max="2056" width="7.625" style="1" customWidth="1"/>
    <col min="2057" max="2059" width="6.25" style="1" customWidth="1"/>
    <col min="2060" max="2304" width="11.625" style="1"/>
    <col min="2305" max="2305" width="10.125" style="1" customWidth="1"/>
    <col min="2306" max="2310" width="6.25" style="1" customWidth="1"/>
    <col min="2311" max="2312" width="7.625" style="1" customWidth="1"/>
    <col min="2313" max="2315" width="6.25" style="1" customWidth="1"/>
    <col min="2316" max="2560" width="11.625" style="1"/>
    <col min="2561" max="2561" width="10.125" style="1" customWidth="1"/>
    <col min="2562" max="2566" width="6.25" style="1" customWidth="1"/>
    <col min="2567" max="2568" width="7.625" style="1" customWidth="1"/>
    <col min="2569" max="2571" width="6.25" style="1" customWidth="1"/>
    <col min="2572" max="2816" width="11.625" style="1"/>
    <col min="2817" max="2817" width="10.125" style="1" customWidth="1"/>
    <col min="2818" max="2822" width="6.25" style="1" customWidth="1"/>
    <col min="2823" max="2824" width="7.625" style="1" customWidth="1"/>
    <col min="2825" max="2827" width="6.25" style="1" customWidth="1"/>
    <col min="2828" max="3072" width="11.625" style="1"/>
    <col min="3073" max="3073" width="10.125" style="1" customWidth="1"/>
    <col min="3074" max="3078" width="6.25" style="1" customWidth="1"/>
    <col min="3079" max="3080" width="7.625" style="1" customWidth="1"/>
    <col min="3081" max="3083" width="6.25" style="1" customWidth="1"/>
    <col min="3084" max="3328" width="11.625" style="1"/>
    <col min="3329" max="3329" width="10.125" style="1" customWidth="1"/>
    <col min="3330" max="3334" width="6.25" style="1" customWidth="1"/>
    <col min="3335" max="3336" width="7.625" style="1" customWidth="1"/>
    <col min="3337" max="3339" width="6.25" style="1" customWidth="1"/>
    <col min="3340" max="3584" width="11.625" style="1"/>
    <col min="3585" max="3585" width="10.125" style="1" customWidth="1"/>
    <col min="3586" max="3590" width="6.25" style="1" customWidth="1"/>
    <col min="3591" max="3592" width="7.625" style="1" customWidth="1"/>
    <col min="3593" max="3595" width="6.25" style="1" customWidth="1"/>
    <col min="3596" max="3840" width="11.625" style="1"/>
    <col min="3841" max="3841" width="10.125" style="1" customWidth="1"/>
    <col min="3842" max="3846" width="6.25" style="1" customWidth="1"/>
    <col min="3847" max="3848" width="7.625" style="1" customWidth="1"/>
    <col min="3849" max="3851" width="6.25" style="1" customWidth="1"/>
    <col min="3852" max="4096" width="11.625" style="1"/>
    <col min="4097" max="4097" width="10.125" style="1" customWidth="1"/>
    <col min="4098" max="4102" width="6.25" style="1" customWidth="1"/>
    <col min="4103" max="4104" width="7.625" style="1" customWidth="1"/>
    <col min="4105" max="4107" width="6.25" style="1" customWidth="1"/>
    <col min="4108" max="4352" width="11.625" style="1"/>
    <col min="4353" max="4353" width="10.125" style="1" customWidth="1"/>
    <col min="4354" max="4358" width="6.25" style="1" customWidth="1"/>
    <col min="4359" max="4360" width="7.625" style="1" customWidth="1"/>
    <col min="4361" max="4363" width="6.25" style="1" customWidth="1"/>
    <col min="4364" max="4608" width="11.625" style="1"/>
    <col min="4609" max="4609" width="10.125" style="1" customWidth="1"/>
    <col min="4610" max="4614" width="6.25" style="1" customWidth="1"/>
    <col min="4615" max="4616" width="7.625" style="1" customWidth="1"/>
    <col min="4617" max="4619" width="6.25" style="1" customWidth="1"/>
    <col min="4620" max="4864" width="11.625" style="1"/>
    <col min="4865" max="4865" width="10.125" style="1" customWidth="1"/>
    <col min="4866" max="4870" width="6.25" style="1" customWidth="1"/>
    <col min="4871" max="4872" width="7.625" style="1" customWidth="1"/>
    <col min="4873" max="4875" width="6.25" style="1" customWidth="1"/>
    <col min="4876" max="5120" width="11.625" style="1"/>
    <col min="5121" max="5121" width="10.125" style="1" customWidth="1"/>
    <col min="5122" max="5126" width="6.25" style="1" customWidth="1"/>
    <col min="5127" max="5128" width="7.625" style="1" customWidth="1"/>
    <col min="5129" max="5131" width="6.25" style="1" customWidth="1"/>
    <col min="5132" max="5376" width="11.625" style="1"/>
    <col min="5377" max="5377" width="10.125" style="1" customWidth="1"/>
    <col min="5378" max="5382" width="6.25" style="1" customWidth="1"/>
    <col min="5383" max="5384" width="7.625" style="1" customWidth="1"/>
    <col min="5385" max="5387" width="6.25" style="1" customWidth="1"/>
    <col min="5388" max="5632" width="11.625" style="1"/>
    <col min="5633" max="5633" width="10.125" style="1" customWidth="1"/>
    <col min="5634" max="5638" width="6.25" style="1" customWidth="1"/>
    <col min="5639" max="5640" width="7.625" style="1" customWidth="1"/>
    <col min="5641" max="5643" width="6.25" style="1" customWidth="1"/>
    <col min="5644" max="5888" width="11.625" style="1"/>
    <col min="5889" max="5889" width="10.125" style="1" customWidth="1"/>
    <col min="5890" max="5894" width="6.25" style="1" customWidth="1"/>
    <col min="5895" max="5896" width="7.625" style="1" customWidth="1"/>
    <col min="5897" max="5899" width="6.25" style="1" customWidth="1"/>
    <col min="5900" max="6144" width="11.625" style="1"/>
    <col min="6145" max="6145" width="10.125" style="1" customWidth="1"/>
    <col min="6146" max="6150" width="6.25" style="1" customWidth="1"/>
    <col min="6151" max="6152" width="7.625" style="1" customWidth="1"/>
    <col min="6153" max="6155" width="6.25" style="1" customWidth="1"/>
    <col min="6156" max="6400" width="11.625" style="1"/>
    <col min="6401" max="6401" width="10.125" style="1" customWidth="1"/>
    <col min="6402" max="6406" width="6.25" style="1" customWidth="1"/>
    <col min="6407" max="6408" width="7.625" style="1" customWidth="1"/>
    <col min="6409" max="6411" width="6.25" style="1" customWidth="1"/>
    <col min="6412" max="6656" width="11.625" style="1"/>
    <col min="6657" max="6657" width="10.125" style="1" customWidth="1"/>
    <col min="6658" max="6662" width="6.25" style="1" customWidth="1"/>
    <col min="6663" max="6664" width="7.625" style="1" customWidth="1"/>
    <col min="6665" max="6667" width="6.25" style="1" customWidth="1"/>
    <col min="6668" max="6912" width="11.625" style="1"/>
    <col min="6913" max="6913" width="10.125" style="1" customWidth="1"/>
    <col min="6914" max="6918" width="6.25" style="1" customWidth="1"/>
    <col min="6919" max="6920" width="7.625" style="1" customWidth="1"/>
    <col min="6921" max="6923" width="6.25" style="1" customWidth="1"/>
    <col min="6924" max="7168" width="11.625" style="1"/>
    <col min="7169" max="7169" width="10.125" style="1" customWidth="1"/>
    <col min="7170" max="7174" width="6.25" style="1" customWidth="1"/>
    <col min="7175" max="7176" width="7.625" style="1" customWidth="1"/>
    <col min="7177" max="7179" width="6.25" style="1" customWidth="1"/>
    <col min="7180" max="7424" width="11.625" style="1"/>
    <col min="7425" max="7425" width="10.125" style="1" customWidth="1"/>
    <col min="7426" max="7430" width="6.25" style="1" customWidth="1"/>
    <col min="7431" max="7432" width="7.625" style="1" customWidth="1"/>
    <col min="7433" max="7435" width="6.25" style="1" customWidth="1"/>
    <col min="7436" max="7680" width="11.625" style="1"/>
    <col min="7681" max="7681" width="10.125" style="1" customWidth="1"/>
    <col min="7682" max="7686" width="6.25" style="1" customWidth="1"/>
    <col min="7687" max="7688" width="7.625" style="1" customWidth="1"/>
    <col min="7689" max="7691" width="6.25" style="1" customWidth="1"/>
    <col min="7692" max="7936" width="11.625" style="1"/>
    <col min="7937" max="7937" width="10.125" style="1" customWidth="1"/>
    <col min="7938" max="7942" width="6.25" style="1" customWidth="1"/>
    <col min="7943" max="7944" width="7.625" style="1" customWidth="1"/>
    <col min="7945" max="7947" width="6.25" style="1" customWidth="1"/>
    <col min="7948" max="8192" width="11.625" style="1"/>
    <col min="8193" max="8193" width="10.125" style="1" customWidth="1"/>
    <col min="8194" max="8198" width="6.25" style="1" customWidth="1"/>
    <col min="8199" max="8200" width="7.625" style="1" customWidth="1"/>
    <col min="8201" max="8203" width="6.25" style="1" customWidth="1"/>
    <col min="8204" max="8448" width="11.625" style="1"/>
    <col min="8449" max="8449" width="10.125" style="1" customWidth="1"/>
    <col min="8450" max="8454" width="6.25" style="1" customWidth="1"/>
    <col min="8455" max="8456" width="7.625" style="1" customWidth="1"/>
    <col min="8457" max="8459" width="6.25" style="1" customWidth="1"/>
    <col min="8460" max="8704" width="11.625" style="1"/>
    <col min="8705" max="8705" width="10.125" style="1" customWidth="1"/>
    <col min="8706" max="8710" width="6.25" style="1" customWidth="1"/>
    <col min="8711" max="8712" width="7.625" style="1" customWidth="1"/>
    <col min="8713" max="8715" width="6.25" style="1" customWidth="1"/>
    <col min="8716" max="8960" width="11.625" style="1"/>
    <col min="8961" max="8961" width="10.125" style="1" customWidth="1"/>
    <col min="8962" max="8966" width="6.25" style="1" customWidth="1"/>
    <col min="8967" max="8968" width="7.625" style="1" customWidth="1"/>
    <col min="8969" max="8971" width="6.25" style="1" customWidth="1"/>
    <col min="8972" max="9216" width="11.625" style="1"/>
    <col min="9217" max="9217" width="10.125" style="1" customWidth="1"/>
    <col min="9218" max="9222" width="6.25" style="1" customWidth="1"/>
    <col min="9223" max="9224" width="7.625" style="1" customWidth="1"/>
    <col min="9225" max="9227" width="6.25" style="1" customWidth="1"/>
    <col min="9228" max="9472" width="11.625" style="1"/>
    <col min="9473" max="9473" width="10.125" style="1" customWidth="1"/>
    <col min="9474" max="9478" width="6.25" style="1" customWidth="1"/>
    <col min="9479" max="9480" width="7.625" style="1" customWidth="1"/>
    <col min="9481" max="9483" width="6.25" style="1" customWidth="1"/>
    <col min="9484" max="9728" width="11.625" style="1"/>
    <col min="9729" max="9729" width="10.125" style="1" customWidth="1"/>
    <col min="9730" max="9734" width="6.25" style="1" customWidth="1"/>
    <col min="9735" max="9736" width="7.625" style="1" customWidth="1"/>
    <col min="9737" max="9739" width="6.25" style="1" customWidth="1"/>
    <col min="9740" max="9984" width="11.625" style="1"/>
    <col min="9985" max="9985" width="10.125" style="1" customWidth="1"/>
    <col min="9986" max="9990" width="6.25" style="1" customWidth="1"/>
    <col min="9991" max="9992" width="7.625" style="1" customWidth="1"/>
    <col min="9993" max="9995" width="6.25" style="1" customWidth="1"/>
    <col min="9996" max="10240" width="11.625" style="1"/>
    <col min="10241" max="10241" width="10.125" style="1" customWidth="1"/>
    <col min="10242" max="10246" width="6.25" style="1" customWidth="1"/>
    <col min="10247" max="10248" width="7.625" style="1" customWidth="1"/>
    <col min="10249" max="10251" width="6.25" style="1" customWidth="1"/>
    <col min="10252" max="10496" width="11.625" style="1"/>
    <col min="10497" max="10497" width="10.125" style="1" customWidth="1"/>
    <col min="10498" max="10502" width="6.25" style="1" customWidth="1"/>
    <col min="10503" max="10504" width="7.625" style="1" customWidth="1"/>
    <col min="10505" max="10507" width="6.25" style="1" customWidth="1"/>
    <col min="10508" max="10752" width="11.625" style="1"/>
    <col min="10753" max="10753" width="10.125" style="1" customWidth="1"/>
    <col min="10754" max="10758" width="6.25" style="1" customWidth="1"/>
    <col min="10759" max="10760" width="7.625" style="1" customWidth="1"/>
    <col min="10761" max="10763" width="6.25" style="1" customWidth="1"/>
    <col min="10764" max="11008" width="11.625" style="1"/>
    <col min="11009" max="11009" width="10.125" style="1" customWidth="1"/>
    <col min="11010" max="11014" width="6.25" style="1" customWidth="1"/>
    <col min="11015" max="11016" width="7.625" style="1" customWidth="1"/>
    <col min="11017" max="11019" width="6.25" style="1" customWidth="1"/>
    <col min="11020" max="11264" width="11.625" style="1"/>
    <col min="11265" max="11265" width="10.125" style="1" customWidth="1"/>
    <col min="11266" max="11270" width="6.25" style="1" customWidth="1"/>
    <col min="11271" max="11272" width="7.625" style="1" customWidth="1"/>
    <col min="11273" max="11275" width="6.25" style="1" customWidth="1"/>
    <col min="11276" max="11520" width="11.625" style="1"/>
    <col min="11521" max="11521" width="10.125" style="1" customWidth="1"/>
    <col min="11522" max="11526" width="6.25" style="1" customWidth="1"/>
    <col min="11527" max="11528" width="7.625" style="1" customWidth="1"/>
    <col min="11529" max="11531" width="6.25" style="1" customWidth="1"/>
    <col min="11532" max="11776" width="11.625" style="1"/>
    <col min="11777" max="11777" width="10.125" style="1" customWidth="1"/>
    <col min="11778" max="11782" width="6.25" style="1" customWidth="1"/>
    <col min="11783" max="11784" width="7.625" style="1" customWidth="1"/>
    <col min="11785" max="11787" width="6.25" style="1" customWidth="1"/>
    <col min="11788" max="12032" width="11.625" style="1"/>
    <col min="12033" max="12033" width="10.125" style="1" customWidth="1"/>
    <col min="12034" max="12038" width="6.25" style="1" customWidth="1"/>
    <col min="12039" max="12040" width="7.625" style="1" customWidth="1"/>
    <col min="12041" max="12043" width="6.25" style="1" customWidth="1"/>
    <col min="12044" max="12288" width="11.625" style="1"/>
    <col min="12289" max="12289" width="10.125" style="1" customWidth="1"/>
    <col min="12290" max="12294" width="6.25" style="1" customWidth="1"/>
    <col min="12295" max="12296" width="7.625" style="1" customWidth="1"/>
    <col min="12297" max="12299" width="6.25" style="1" customWidth="1"/>
    <col min="12300" max="12544" width="11.625" style="1"/>
    <col min="12545" max="12545" width="10.125" style="1" customWidth="1"/>
    <col min="12546" max="12550" width="6.25" style="1" customWidth="1"/>
    <col min="12551" max="12552" width="7.625" style="1" customWidth="1"/>
    <col min="12553" max="12555" width="6.25" style="1" customWidth="1"/>
    <col min="12556" max="12800" width="11.625" style="1"/>
    <col min="12801" max="12801" width="10.125" style="1" customWidth="1"/>
    <col min="12802" max="12806" width="6.25" style="1" customWidth="1"/>
    <col min="12807" max="12808" width="7.625" style="1" customWidth="1"/>
    <col min="12809" max="12811" width="6.25" style="1" customWidth="1"/>
    <col min="12812" max="13056" width="11.625" style="1"/>
    <col min="13057" max="13057" width="10.125" style="1" customWidth="1"/>
    <col min="13058" max="13062" width="6.25" style="1" customWidth="1"/>
    <col min="13063" max="13064" width="7.625" style="1" customWidth="1"/>
    <col min="13065" max="13067" width="6.25" style="1" customWidth="1"/>
    <col min="13068" max="13312" width="11.625" style="1"/>
    <col min="13313" max="13313" width="10.125" style="1" customWidth="1"/>
    <col min="13314" max="13318" width="6.25" style="1" customWidth="1"/>
    <col min="13319" max="13320" width="7.625" style="1" customWidth="1"/>
    <col min="13321" max="13323" width="6.25" style="1" customWidth="1"/>
    <col min="13324" max="13568" width="11.625" style="1"/>
    <col min="13569" max="13569" width="10.125" style="1" customWidth="1"/>
    <col min="13570" max="13574" width="6.25" style="1" customWidth="1"/>
    <col min="13575" max="13576" width="7.625" style="1" customWidth="1"/>
    <col min="13577" max="13579" width="6.25" style="1" customWidth="1"/>
    <col min="13580" max="13824" width="11.625" style="1"/>
    <col min="13825" max="13825" width="10.125" style="1" customWidth="1"/>
    <col min="13826" max="13830" width="6.25" style="1" customWidth="1"/>
    <col min="13831" max="13832" width="7.625" style="1" customWidth="1"/>
    <col min="13833" max="13835" width="6.25" style="1" customWidth="1"/>
    <col min="13836" max="14080" width="11.625" style="1"/>
    <col min="14081" max="14081" width="10.125" style="1" customWidth="1"/>
    <col min="14082" max="14086" width="6.25" style="1" customWidth="1"/>
    <col min="14087" max="14088" width="7.625" style="1" customWidth="1"/>
    <col min="14089" max="14091" width="6.25" style="1" customWidth="1"/>
    <col min="14092" max="14336" width="11.625" style="1"/>
    <col min="14337" max="14337" width="10.125" style="1" customWidth="1"/>
    <col min="14338" max="14342" width="6.25" style="1" customWidth="1"/>
    <col min="14343" max="14344" width="7.625" style="1" customWidth="1"/>
    <col min="14345" max="14347" width="6.25" style="1" customWidth="1"/>
    <col min="14348" max="14592" width="11.625" style="1"/>
    <col min="14593" max="14593" width="10.125" style="1" customWidth="1"/>
    <col min="14594" max="14598" width="6.25" style="1" customWidth="1"/>
    <col min="14599" max="14600" width="7.625" style="1" customWidth="1"/>
    <col min="14601" max="14603" width="6.25" style="1" customWidth="1"/>
    <col min="14604" max="14848" width="11.625" style="1"/>
    <col min="14849" max="14849" width="10.125" style="1" customWidth="1"/>
    <col min="14850" max="14854" width="6.25" style="1" customWidth="1"/>
    <col min="14855" max="14856" width="7.625" style="1" customWidth="1"/>
    <col min="14857" max="14859" width="6.25" style="1" customWidth="1"/>
    <col min="14860" max="15104" width="11.625" style="1"/>
    <col min="15105" max="15105" width="10.125" style="1" customWidth="1"/>
    <col min="15106" max="15110" width="6.25" style="1" customWidth="1"/>
    <col min="15111" max="15112" width="7.625" style="1" customWidth="1"/>
    <col min="15113" max="15115" width="6.25" style="1" customWidth="1"/>
    <col min="15116" max="15360" width="11.625" style="1"/>
    <col min="15361" max="15361" width="10.125" style="1" customWidth="1"/>
    <col min="15362" max="15366" width="6.25" style="1" customWidth="1"/>
    <col min="15367" max="15368" width="7.625" style="1" customWidth="1"/>
    <col min="15369" max="15371" width="6.25" style="1" customWidth="1"/>
    <col min="15372" max="15616" width="11.625" style="1"/>
    <col min="15617" max="15617" width="10.125" style="1" customWidth="1"/>
    <col min="15618" max="15622" width="6.25" style="1" customWidth="1"/>
    <col min="15623" max="15624" width="7.625" style="1" customWidth="1"/>
    <col min="15625" max="15627" width="6.25" style="1" customWidth="1"/>
    <col min="15628" max="15872" width="11.625" style="1"/>
    <col min="15873" max="15873" width="10.125" style="1" customWidth="1"/>
    <col min="15874" max="15878" width="6.25" style="1" customWidth="1"/>
    <col min="15879" max="15880" width="7.625" style="1" customWidth="1"/>
    <col min="15881" max="15883" width="6.25" style="1" customWidth="1"/>
    <col min="15884" max="16128" width="11.625" style="1"/>
    <col min="16129" max="16129" width="10.125" style="1" customWidth="1"/>
    <col min="16130" max="16134" width="6.25" style="1" customWidth="1"/>
    <col min="16135" max="16136" width="7.625" style="1" customWidth="1"/>
    <col min="16137" max="16139" width="6.25" style="1" customWidth="1"/>
    <col min="16140" max="16384" width="11.625" style="1"/>
  </cols>
  <sheetData>
    <row r="1" spans="1:7" ht="11.25" customHeight="1">
      <c r="B1" s="2"/>
    </row>
    <row r="2" spans="1:7" s="4" customFormat="1" ht="14.25">
      <c r="A2" s="25" t="s">
        <v>171</v>
      </c>
    </row>
    <row r="3" spans="1:7" ht="3.75" customHeight="1"/>
    <row r="4" spans="1:7" ht="11.25" customHeight="1">
      <c r="A4" s="190" t="s">
        <v>136</v>
      </c>
      <c r="B4" s="158" t="s">
        <v>74</v>
      </c>
      <c r="C4" s="192"/>
      <c r="D4" s="158" t="s">
        <v>75</v>
      </c>
      <c r="E4" s="193"/>
      <c r="F4" s="158" t="s">
        <v>76</v>
      </c>
      <c r="G4" s="193"/>
    </row>
    <row r="5" spans="1:7" ht="11.25" customHeight="1">
      <c r="A5" s="191"/>
      <c r="B5" s="194" t="s">
        <v>77</v>
      </c>
      <c r="C5" s="195"/>
      <c r="D5" s="194" t="s">
        <v>77</v>
      </c>
      <c r="E5" s="196"/>
      <c r="F5" s="194" t="s">
        <v>78</v>
      </c>
      <c r="G5" s="196"/>
    </row>
    <row r="6" spans="1:7" ht="12" customHeight="1">
      <c r="A6" s="103"/>
      <c r="B6" s="27"/>
      <c r="C6" s="30" t="s">
        <v>172</v>
      </c>
      <c r="D6" s="27"/>
      <c r="E6" s="28" t="s">
        <v>173</v>
      </c>
      <c r="F6" s="27"/>
      <c r="G6" s="28" t="s">
        <v>174</v>
      </c>
    </row>
    <row r="7" spans="1:7" ht="9" customHeight="1">
      <c r="A7" s="103" t="s">
        <v>175</v>
      </c>
      <c r="B7" s="27"/>
      <c r="C7" s="29">
        <v>43684</v>
      </c>
      <c r="D7" s="27"/>
      <c r="E7" s="29">
        <v>12391</v>
      </c>
      <c r="F7" s="27"/>
      <c r="G7" s="29">
        <v>488</v>
      </c>
    </row>
    <row r="8" spans="1:7" ht="12" customHeight="1">
      <c r="A8" s="103"/>
      <c r="B8" s="27"/>
      <c r="C8" s="30" t="s">
        <v>196</v>
      </c>
      <c r="D8" s="27"/>
      <c r="E8" s="28" t="s">
        <v>197</v>
      </c>
      <c r="F8" s="27"/>
      <c r="G8" s="28" t="s">
        <v>198</v>
      </c>
    </row>
    <row r="9" spans="1:7" ht="9" customHeight="1">
      <c r="A9" s="103" t="s">
        <v>199</v>
      </c>
      <c r="B9" s="27"/>
      <c r="C9" s="29">
        <v>41936</v>
      </c>
      <c r="D9" s="27"/>
      <c r="E9" s="29">
        <v>12267</v>
      </c>
      <c r="F9" s="27"/>
      <c r="G9" s="29">
        <v>432</v>
      </c>
    </row>
    <row r="10" spans="1:7" ht="12" customHeight="1">
      <c r="A10" s="103"/>
      <c r="B10" s="27"/>
      <c r="C10" s="30" t="s">
        <v>205</v>
      </c>
      <c r="D10" s="27"/>
      <c r="E10" s="30" t="s">
        <v>206</v>
      </c>
      <c r="F10" s="27"/>
      <c r="G10" s="113" t="s">
        <v>198</v>
      </c>
    </row>
    <row r="11" spans="1:7" ht="9" customHeight="1">
      <c r="A11" s="103" t="s">
        <v>202</v>
      </c>
      <c r="B11" s="27"/>
      <c r="C11" s="29">
        <v>40097</v>
      </c>
      <c r="D11" s="27"/>
      <c r="E11" s="29">
        <v>12517</v>
      </c>
      <c r="F11" s="27"/>
      <c r="G11" s="29">
        <v>420</v>
      </c>
    </row>
    <row r="12" spans="1:7" ht="9" customHeight="1">
      <c r="A12" s="103"/>
      <c r="B12" s="27"/>
      <c r="C12" s="30" t="s">
        <v>211</v>
      </c>
      <c r="D12" s="27"/>
      <c r="E12" s="28" t="s">
        <v>212</v>
      </c>
      <c r="F12" s="27"/>
      <c r="G12" s="28" t="s">
        <v>213</v>
      </c>
    </row>
    <row r="13" spans="1:7" ht="9" customHeight="1">
      <c r="A13" s="103" t="s">
        <v>207</v>
      </c>
      <c r="B13" s="27"/>
      <c r="C13" s="29">
        <v>38948</v>
      </c>
      <c r="D13" s="27"/>
      <c r="E13" s="29">
        <v>12384</v>
      </c>
      <c r="F13" s="27"/>
      <c r="G13" s="29">
        <v>395</v>
      </c>
    </row>
    <row r="14" spans="1:7" ht="9" customHeight="1">
      <c r="A14" s="103"/>
      <c r="B14" s="27"/>
      <c r="C14" s="30" t="s">
        <v>214</v>
      </c>
      <c r="D14" s="27"/>
      <c r="E14" s="28" t="s">
        <v>215</v>
      </c>
      <c r="F14" s="27"/>
      <c r="G14" s="28" t="s">
        <v>216</v>
      </c>
    </row>
    <row r="15" spans="1:7" ht="9" customHeight="1">
      <c r="A15" s="103" t="s">
        <v>217</v>
      </c>
      <c r="B15" s="27"/>
      <c r="C15" s="29">
        <v>37804</v>
      </c>
      <c r="D15" s="27"/>
      <c r="E15" s="29">
        <v>11841</v>
      </c>
      <c r="F15" s="27"/>
      <c r="G15" s="29">
        <v>335</v>
      </c>
    </row>
    <row r="16" spans="1:7" ht="9" customHeight="1">
      <c r="A16" s="103"/>
      <c r="B16" s="27"/>
      <c r="C16" s="30" t="s">
        <v>221</v>
      </c>
      <c r="D16" s="27"/>
      <c r="E16" s="28" t="s">
        <v>222</v>
      </c>
      <c r="F16" s="27"/>
      <c r="G16" s="28" t="s">
        <v>223</v>
      </c>
    </row>
    <row r="17" spans="1:11" ht="9" customHeight="1">
      <c r="A17" s="139" t="s">
        <v>224</v>
      </c>
      <c r="B17" s="97"/>
      <c r="C17" s="140">
        <v>36482</v>
      </c>
      <c r="D17" s="97"/>
      <c r="E17" s="140">
        <v>11501</v>
      </c>
      <c r="F17" s="97"/>
      <c r="G17" s="140">
        <v>294</v>
      </c>
    </row>
    <row r="18" spans="1:11" ht="9" customHeight="1">
      <c r="A18" s="69"/>
      <c r="B18" s="85"/>
      <c r="C18" s="85"/>
      <c r="D18" s="85"/>
      <c r="E18" s="85"/>
      <c r="F18" s="85"/>
      <c r="G18" s="85"/>
    </row>
    <row r="19" spans="1:11" ht="11.25" customHeight="1">
      <c r="A19" s="1" t="s">
        <v>79</v>
      </c>
      <c r="B19" s="2"/>
      <c r="C19" s="2"/>
    </row>
    <row r="20" spans="1:11" ht="11.25" customHeight="1">
      <c r="A20" s="1" t="s">
        <v>225</v>
      </c>
      <c r="B20" s="2"/>
      <c r="C20" s="2"/>
    </row>
    <row r="21" spans="1:11" ht="11.25" customHeight="1">
      <c r="B21" s="2"/>
    </row>
    <row r="22" spans="1:11" ht="16.5" hidden="1" customHeight="1">
      <c r="A22" s="25" t="s">
        <v>218</v>
      </c>
      <c r="B22" s="31"/>
      <c r="C22" s="31"/>
      <c r="D22" s="31"/>
      <c r="E22" s="31"/>
      <c r="F22" s="31"/>
      <c r="G22" s="31"/>
      <c r="H22" s="31"/>
    </row>
    <row r="23" spans="1:11" ht="11.25" hidden="1" customHeight="1">
      <c r="A23" s="32"/>
      <c r="B23" s="32"/>
      <c r="C23" s="32"/>
      <c r="D23" s="32"/>
      <c r="E23" s="32"/>
      <c r="F23" s="32"/>
      <c r="G23" s="32"/>
      <c r="H23" s="32"/>
      <c r="J23" s="178" t="s">
        <v>176</v>
      </c>
      <c r="K23" s="178"/>
    </row>
    <row r="24" spans="1:11" ht="11.25" hidden="1" customHeight="1">
      <c r="A24" s="33" t="s">
        <v>80</v>
      </c>
      <c r="B24" s="116"/>
      <c r="C24" s="176" t="s">
        <v>81</v>
      </c>
      <c r="D24" s="179"/>
      <c r="E24" s="179"/>
      <c r="F24" s="179"/>
      <c r="G24" s="179"/>
      <c r="H24" s="179"/>
      <c r="I24" s="179"/>
      <c r="J24" s="179"/>
      <c r="K24" s="179"/>
    </row>
    <row r="25" spans="1:11" ht="11.25" hidden="1" customHeight="1">
      <c r="A25" s="34" t="s">
        <v>154</v>
      </c>
      <c r="B25" s="114" t="s">
        <v>82</v>
      </c>
      <c r="C25" s="180" t="s">
        <v>83</v>
      </c>
      <c r="D25" s="176" t="s">
        <v>142</v>
      </c>
      <c r="E25" s="177"/>
      <c r="F25" s="176" t="s">
        <v>143</v>
      </c>
      <c r="G25" s="179"/>
      <c r="H25" s="179"/>
      <c r="I25" s="179"/>
      <c r="J25" s="177"/>
      <c r="K25" s="182" t="s">
        <v>84</v>
      </c>
    </row>
    <row r="26" spans="1:11" ht="11.25" hidden="1" customHeight="1">
      <c r="A26" s="34"/>
      <c r="B26" s="114"/>
      <c r="C26" s="180"/>
      <c r="D26" s="182" t="s">
        <v>85</v>
      </c>
      <c r="E26" s="185" t="s">
        <v>86</v>
      </c>
      <c r="F26" s="186" t="s">
        <v>87</v>
      </c>
      <c r="G26" s="188" t="s">
        <v>88</v>
      </c>
      <c r="H26" s="174" t="s">
        <v>89</v>
      </c>
      <c r="I26" s="176" t="s">
        <v>90</v>
      </c>
      <c r="J26" s="177"/>
      <c r="K26" s="183"/>
    </row>
    <row r="27" spans="1:11" ht="14.25" hidden="1" customHeight="1">
      <c r="A27" s="35"/>
      <c r="B27" s="115"/>
      <c r="C27" s="181"/>
      <c r="D27" s="184"/>
      <c r="E27" s="181"/>
      <c r="F27" s="187"/>
      <c r="G27" s="189"/>
      <c r="H27" s="175"/>
      <c r="I27" s="115" t="s">
        <v>91</v>
      </c>
      <c r="J27" s="115" t="s">
        <v>144</v>
      </c>
      <c r="K27" s="184"/>
    </row>
    <row r="28" spans="1:11" ht="9" hidden="1" customHeight="1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108"/>
    </row>
    <row r="29" spans="1:11" ht="6.75" hidden="1" customHeight="1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109"/>
    </row>
    <row r="30" spans="1:11" ht="6" hidden="1" customHeight="1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109"/>
    </row>
    <row r="31" spans="1:11" ht="9" hidden="1" customHeight="1">
      <c r="A31" s="36" t="s">
        <v>56</v>
      </c>
      <c r="B31" s="37">
        <v>3594</v>
      </c>
      <c r="C31" s="37">
        <f>SUM(C32:C33)</f>
        <v>3695</v>
      </c>
      <c r="D31" s="37">
        <v>653</v>
      </c>
      <c r="E31" s="37">
        <v>377</v>
      </c>
      <c r="F31" s="37">
        <v>1759</v>
      </c>
      <c r="G31" s="37">
        <v>709</v>
      </c>
      <c r="H31" s="37">
        <v>74</v>
      </c>
      <c r="I31" s="37"/>
      <c r="J31" s="37"/>
      <c r="K31" s="108">
        <v>123</v>
      </c>
    </row>
    <row r="32" spans="1:11" ht="9" hidden="1" customHeight="1">
      <c r="A32" s="36" t="s">
        <v>92</v>
      </c>
      <c r="B32" s="37"/>
      <c r="C32" s="37">
        <f>SUM(D32:K32)</f>
        <v>1810</v>
      </c>
      <c r="D32" s="37">
        <v>496</v>
      </c>
      <c r="E32" s="37">
        <v>172</v>
      </c>
      <c r="F32" s="37">
        <v>799</v>
      </c>
      <c r="G32" s="37">
        <v>270</v>
      </c>
      <c r="H32" s="37">
        <v>10</v>
      </c>
      <c r="I32" s="37"/>
      <c r="J32" s="37"/>
      <c r="K32" s="108">
        <v>63</v>
      </c>
    </row>
    <row r="33" spans="1:11" ht="9" hidden="1" customHeight="1">
      <c r="A33" s="36" t="s">
        <v>93</v>
      </c>
      <c r="B33" s="37"/>
      <c r="C33" s="37">
        <f>SUM(D33:K33)</f>
        <v>1885</v>
      </c>
      <c r="D33" s="37">
        <v>157</v>
      </c>
      <c r="E33" s="37">
        <v>205</v>
      </c>
      <c r="F33" s="37">
        <v>960</v>
      </c>
      <c r="G33" s="37">
        <v>439</v>
      </c>
      <c r="H33" s="37">
        <v>64</v>
      </c>
      <c r="I33" s="37"/>
      <c r="J33" s="37"/>
      <c r="K33" s="109">
        <v>60</v>
      </c>
    </row>
    <row r="34" spans="1:11" ht="6" hidden="1" customHeight="1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109"/>
    </row>
    <row r="35" spans="1:11" ht="9" hidden="1" customHeight="1">
      <c r="A35" s="36" t="s">
        <v>57</v>
      </c>
      <c r="B35" s="37">
        <v>3687</v>
      </c>
      <c r="C35" s="37">
        <f t="shared" ref="C35:H35" si="0">SUM(C36:C37)</f>
        <v>3805</v>
      </c>
      <c r="D35" s="37">
        <f t="shared" si="0"/>
        <v>635</v>
      </c>
      <c r="E35" s="37">
        <f t="shared" si="0"/>
        <v>349</v>
      </c>
      <c r="F35" s="37">
        <f t="shared" si="0"/>
        <v>1484</v>
      </c>
      <c r="G35" s="37">
        <f t="shared" si="0"/>
        <v>1105</v>
      </c>
      <c r="H35" s="37">
        <f t="shared" si="0"/>
        <v>106</v>
      </c>
      <c r="I35" s="37"/>
      <c r="J35" s="37"/>
      <c r="K35" s="108">
        <f>SUM(K36:K37)</f>
        <v>126</v>
      </c>
    </row>
    <row r="36" spans="1:11" ht="9" hidden="1" customHeight="1">
      <c r="A36" s="36" t="s">
        <v>92</v>
      </c>
      <c r="B36" s="37"/>
      <c r="C36" s="37">
        <f>SUM(D36:K36)</f>
        <v>1723</v>
      </c>
      <c r="D36" s="37">
        <v>488</v>
      </c>
      <c r="E36" s="37">
        <v>122</v>
      </c>
      <c r="F36" s="37">
        <v>694</v>
      </c>
      <c r="G36" s="37">
        <v>339</v>
      </c>
      <c r="H36" s="37">
        <v>8</v>
      </c>
      <c r="I36" s="37"/>
      <c r="J36" s="37"/>
      <c r="K36" s="108">
        <v>72</v>
      </c>
    </row>
    <row r="37" spans="1:11" ht="9" hidden="1" customHeight="1">
      <c r="A37" s="36" t="s">
        <v>93</v>
      </c>
      <c r="B37" s="37"/>
      <c r="C37" s="37">
        <f>SUM(D37:K37)</f>
        <v>2082</v>
      </c>
      <c r="D37" s="37">
        <v>147</v>
      </c>
      <c r="E37" s="37">
        <v>227</v>
      </c>
      <c r="F37" s="37">
        <v>790</v>
      </c>
      <c r="G37" s="37">
        <v>766</v>
      </c>
      <c r="H37" s="37">
        <v>98</v>
      </c>
      <c r="I37" s="37"/>
      <c r="J37" s="37"/>
      <c r="K37" s="109">
        <v>54</v>
      </c>
    </row>
    <row r="38" spans="1:11" ht="9" hidden="1" customHeight="1"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11" ht="9" hidden="1" customHeight="1">
      <c r="A39" s="36" t="s">
        <v>58</v>
      </c>
      <c r="B39" s="37">
        <v>3796</v>
      </c>
      <c r="C39" s="37">
        <f t="shared" ref="C39:H39" si="1">SUM(C40:C41)</f>
        <v>3932</v>
      </c>
      <c r="D39" s="37">
        <f t="shared" si="1"/>
        <v>636</v>
      </c>
      <c r="E39" s="37">
        <f t="shared" si="1"/>
        <v>342</v>
      </c>
      <c r="F39" s="37">
        <f t="shared" si="1"/>
        <v>1312</v>
      </c>
      <c r="G39" s="37">
        <f t="shared" si="1"/>
        <v>1428</v>
      </c>
      <c r="H39" s="37">
        <f t="shared" si="1"/>
        <v>131</v>
      </c>
      <c r="I39" s="37"/>
      <c r="J39" s="37"/>
      <c r="K39" s="108">
        <f>SUM(K40:K41)</f>
        <v>83</v>
      </c>
    </row>
    <row r="40" spans="1:11" ht="9" hidden="1" customHeight="1">
      <c r="A40" s="36" t="s">
        <v>92</v>
      </c>
      <c r="B40" s="37"/>
      <c r="C40" s="37">
        <v>1746</v>
      </c>
      <c r="D40" s="37">
        <v>493</v>
      </c>
      <c r="E40" s="37">
        <v>136</v>
      </c>
      <c r="F40" s="37">
        <v>616</v>
      </c>
      <c r="G40" s="37">
        <v>438</v>
      </c>
      <c r="H40" s="37">
        <v>5</v>
      </c>
      <c r="I40" s="37"/>
      <c r="J40" s="37"/>
      <c r="K40" s="108">
        <v>58</v>
      </c>
    </row>
    <row r="41" spans="1:11" ht="9" hidden="1" customHeight="1">
      <c r="A41" s="36" t="s">
        <v>93</v>
      </c>
      <c r="B41" s="37"/>
      <c r="C41" s="37">
        <v>2186</v>
      </c>
      <c r="D41" s="37">
        <v>143</v>
      </c>
      <c r="E41" s="37">
        <v>206</v>
      </c>
      <c r="F41" s="37">
        <v>696</v>
      </c>
      <c r="G41" s="37">
        <v>990</v>
      </c>
      <c r="H41" s="37">
        <v>126</v>
      </c>
      <c r="I41" s="37"/>
      <c r="J41" s="37"/>
      <c r="K41" s="108">
        <v>25</v>
      </c>
    </row>
    <row r="42" spans="1:11" ht="9" hidden="1" customHeight="1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108"/>
    </row>
    <row r="43" spans="1:11" ht="9" hidden="1" customHeight="1">
      <c r="A43" s="36" t="s">
        <v>133</v>
      </c>
      <c r="B43" s="37">
        <v>3794</v>
      </c>
      <c r="C43" s="37">
        <f t="shared" ref="C43:H43" si="2">SUM(C44:C45)</f>
        <v>3947</v>
      </c>
      <c r="D43" s="37">
        <f t="shared" si="2"/>
        <v>618</v>
      </c>
      <c r="E43" s="37">
        <f t="shared" si="2"/>
        <v>357</v>
      </c>
      <c r="F43" s="37">
        <f t="shared" si="2"/>
        <v>1158</v>
      </c>
      <c r="G43" s="37">
        <f t="shared" si="2"/>
        <v>1599</v>
      </c>
      <c r="H43" s="37">
        <f t="shared" si="2"/>
        <v>159</v>
      </c>
      <c r="I43" s="37"/>
      <c r="J43" s="37"/>
      <c r="K43" s="108">
        <f>SUM(K44:K45)</f>
        <v>56</v>
      </c>
    </row>
    <row r="44" spans="1:11" ht="9" hidden="1" customHeight="1">
      <c r="A44" s="36" t="s">
        <v>92</v>
      </c>
      <c r="B44" s="37"/>
      <c r="C44" s="37">
        <v>1743</v>
      </c>
      <c r="D44" s="37">
        <v>483</v>
      </c>
      <c r="E44" s="37">
        <v>165</v>
      </c>
      <c r="F44" s="37">
        <v>549</v>
      </c>
      <c r="G44" s="37">
        <v>501</v>
      </c>
      <c r="H44" s="37">
        <v>5</v>
      </c>
      <c r="I44" s="37"/>
      <c r="J44" s="37"/>
      <c r="K44" s="108">
        <v>40</v>
      </c>
    </row>
    <row r="45" spans="1:11" ht="9" hidden="1" customHeight="1">
      <c r="A45" s="36" t="s">
        <v>93</v>
      </c>
      <c r="B45" s="37"/>
      <c r="C45" s="37">
        <v>2204</v>
      </c>
      <c r="D45" s="37">
        <v>135</v>
      </c>
      <c r="E45" s="37">
        <v>192</v>
      </c>
      <c r="F45" s="37">
        <v>609</v>
      </c>
      <c r="G45" s="37">
        <v>1098</v>
      </c>
      <c r="H45" s="37">
        <v>154</v>
      </c>
      <c r="I45" s="37"/>
      <c r="J45" s="37"/>
      <c r="K45" s="108">
        <v>16</v>
      </c>
    </row>
    <row r="46" spans="1:11" ht="9" hidden="1" customHeight="1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108"/>
    </row>
    <row r="47" spans="1:11" ht="9" hidden="1" customHeight="1">
      <c r="A47" s="36" t="s">
        <v>141</v>
      </c>
      <c r="B47" s="37">
        <v>3859</v>
      </c>
      <c r="C47" s="37">
        <f t="shared" ref="C47:H47" si="3">SUM(C48:C49)</f>
        <v>4016</v>
      </c>
      <c r="D47" s="37">
        <f t="shared" si="3"/>
        <v>602</v>
      </c>
      <c r="E47" s="37">
        <f t="shared" si="3"/>
        <v>361</v>
      </c>
      <c r="F47" s="37">
        <f t="shared" si="3"/>
        <v>1358</v>
      </c>
      <c r="G47" s="37">
        <f t="shared" si="3"/>
        <v>1409</v>
      </c>
      <c r="H47" s="37">
        <f t="shared" si="3"/>
        <v>228</v>
      </c>
      <c r="I47" s="37"/>
      <c r="J47" s="37"/>
      <c r="K47" s="108">
        <f>SUM(K48:K49)</f>
        <v>58</v>
      </c>
    </row>
    <row r="48" spans="1:11" ht="9" hidden="1" customHeight="1">
      <c r="A48" s="36" t="s">
        <v>92</v>
      </c>
      <c r="B48" s="37"/>
      <c r="C48" s="37">
        <v>1718</v>
      </c>
      <c r="D48" s="37">
        <v>457</v>
      </c>
      <c r="E48" s="37">
        <v>162</v>
      </c>
      <c r="F48" s="37">
        <v>613</v>
      </c>
      <c r="G48" s="37">
        <v>440</v>
      </c>
      <c r="H48" s="37">
        <v>9</v>
      </c>
      <c r="I48" s="37"/>
      <c r="J48" s="37"/>
      <c r="K48" s="108">
        <v>37</v>
      </c>
    </row>
    <row r="49" spans="1:11" ht="9" hidden="1" customHeight="1">
      <c r="A49" s="110" t="s">
        <v>93</v>
      </c>
      <c r="B49" s="111"/>
      <c r="C49" s="111">
        <v>2298</v>
      </c>
      <c r="D49" s="111">
        <v>145</v>
      </c>
      <c r="E49" s="111">
        <v>199</v>
      </c>
      <c r="F49" s="111">
        <v>745</v>
      </c>
      <c r="G49" s="111">
        <v>969</v>
      </c>
      <c r="H49" s="111">
        <v>219</v>
      </c>
      <c r="I49" s="111"/>
      <c r="J49" s="111"/>
      <c r="K49" s="112">
        <v>21</v>
      </c>
    </row>
  </sheetData>
  <mergeCells count="19">
    <mergeCell ref="A4:A5"/>
    <mergeCell ref="B4:C4"/>
    <mergeCell ref="D4:E4"/>
    <mergeCell ref="F4:G4"/>
    <mergeCell ref="B5:C5"/>
    <mergeCell ref="D5:E5"/>
    <mergeCell ref="F5:G5"/>
    <mergeCell ref="H26:H27"/>
    <mergeCell ref="I26:J26"/>
    <mergeCell ref="J23:K23"/>
    <mergeCell ref="C24:K24"/>
    <mergeCell ref="C25:C27"/>
    <mergeCell ref="D25:E25"/>
    <mergeCell ref="F25:J25"/>
    <mergeCell ref="K25:K27"/>
    <mergeCell ref="D26:D27"/>
    <mergeCell ref="E26:E27"/>
    <mergeCell ref="F26:F27"/>
    <mergeCell ref="G26:G27"/>
  </mergeCells>
  <phoneticPr fontId="2"/>
  <pageMargins left="0.74803149606299213" right="0.78740157480314965" top="0.62" bottom="0.98425196850393704" header="0.51181102362204722" footer="0.51181102362204722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62568-1073-499A-BAA7-1773DDB4625A}">
  <dimension ref="A1:K27"/>
  <sheetViews>
    <sheetView showGridLines="0" zoomScale="145" zoomScaleNormal="145" zoomScaleSheetLayoutView="75" workbookViewId="0">
      <selection activeCell="A25" sqref="A25:L27"/>
    </sheetView>
  </sheetViews>
  <sheetFormatPr defaultColWidth="11.625" defaultRowHeight="11.25" customHeight="1"/>
  <cols>
    <col min="1" max="1" width="10.125" style="1" customWidth="1"/>
    <col min="2" max="6" width="6.25" style="1" customWidth="1"/>
    <col min="7" max="8" width="7.625" style="1" customWidth="1"/>
    <col min="9" max="11" width="6.25" style="1" customWidth="1"/>
    <col min="12" max="256" width="11.625" style="1"/>
    <col min="257" max="257" width="10.125" style="1" customWidth="1"/>
    <col min="258" max="262" width="6.25" style="1" customWidth="1"/>
    <col min="263" max="264" width="7.625" style="1" customWidth="1"/>
    <col min="265" max="267" width="6.25" style="1" customWidth="1"/>
    <col min="268" max="512" width="11.625" style="1"/>
    <col min="513" max="513" width="10.125" style="1" customWidth="1"/>
    <col min="514" max="518" width="6.25" style="1" customWidth="1"/>
    <col min="519" max="520" width="7.625" style="1" customWidth="1"/>
    <col min="521" max="523" width="6.25" style="1" customWidth="1"/>
    <col min="524" max="768" width="11.625" style="1"/>
    <col min="769" max="769" width="10.125" style="1" customWidth="1"/>
    <col min="770" max="774" width="6.25" style="1" customWidth="1"/>
    <col min="775" max="776" width="7.625" style="1" customWidth="1"/>
    <col min="777" max="779" width="6.25" style="1" customWidth="1"/>
    <col min="780" max="1024" width="11.625" style="1"/>
    <col min="1025" max="1025" width="10.125" style="1" customWidth="1"/>
    <col min="1026" max="1030" width="6.25" style="1" customWidth="1"/>
    <col min="1031" max="1032" width="7.625" style="1" customWidth="1"/>
    <col min="1033" max="1035" width="6.25" style="1" customWidth="1"/>
    <col min="1036" max="1280" width="11.625" style="1"/>
    <col min="1281" max="1281" width="10.125" style="1" customWidth="1"/>
    <col min="1282" max="1286" width="6.25" style="1" customWidth="1"/>
    <col min="1287" max="1288" width="7.625" style="1" customWidth="1"/>
    <col min="1289" max="1291" width="6.25" style="1" customWidth="1"/>
    <col min="1292" max="1536" width="11.625" style="1"/>
    <col min="1537" max="1537" width="10.125" style="1" customWidth="1"/>
    <col min="1538" max="1542" width="6.25" style="1" customWidth="1"/>
    <col min="1543" max="1544" width="7.625" style="1" customWidth="1"/>
    <col min="1545" max="1547" width="6.25" style="1" customWidth="1"/>
    <col min="1548" max="1792" width="11.625" style="1"/>
    <col min="1793" max="1793" width="10.125" style="1" customWidth="1"/>
    <col min="1794" max="1798" width="6.25" style="1" customWidth="1"/>
    <col min="1799" max="1800" width="7.625" style="1" customWidth="1"/>
    <col min="1801" max="1803" width="6.25" style="1" customWidth="1"/>
    <col min="1804" max="2048" width="11.625" style="1"/>
    <col min="2049" max="2049" width="10.125" style="1" customWidth="1"/>
    <col min="2050" max="2054" width="6.25" style="1" customWidth="1"/>
    <col min="2055" max="2056" width="7.625" style="1" customWidth="1"/>
    <col min="2057" max="2059" width="6.25" style="1" customWidth="1"/>
    <col min="2060" max="2304" width="11.625" style="1"/>
    <col min="2305" max="2305" width="10.125" style="1" customWidth="1"/>
    <col min="2306" max="2310" width="6.25" style="1" customWidth="1"/>
    <col min="2311" max="2312" width="7.625" style="1" customWidth="1"/>
    <col min="2313" max="2315" width="6.25" style="1" customWidth="1"/>
    <col min="2316" max="2560" width="11.625" style="1"/>
    <col min="2561" max="2561" width="10.125" style="1" customWidth="1"/>
    <col min="2562" max="2566" width="6.25" style="1" customWidth="1"/>
    <col min="2567" max="2568" width="7.625" style="1" customWidth="1"/>
    <col min="2569" max="2571" width="6.25" style="1" customWidth="1"/>
    <col min="2572" max="2816" width="11.625" style="1"/>
    <col min="2817" max="2817" width="10.125" style="1" customWidth="1"/>
    <col min="2818" max="2822" width="6.25" style="1" customWidth="1"/>
    <col min="2823" max="2824" width="7.625" style="1" customWidth="1"/>
    <col min="2825" max="2827" width="6.25" style="1" customWidth="1"/>
    <col min="2828" max="3072" width="11.625" style="1"/>
    <col min="3073" max="3073" width="10.125" style="1" customWidth="1"/>
    <col min="3074" max="3078" width="6.25" style="1" customWidth="1"/>
    <col min="3079" max="3080" width="7.625" style="1" customWidth="1"/>
    <col min="3081" max="3083" width="6.25" style="1" customWidth="1"/>
    <col min="3084" max="3328" width="11.625" style="1"/>
    <col min="3329" max="3329" width="10.125" style="1" customWidth="1"/>
    <col min="3330" max="3334" width="6.25" style="1" customWidth="1"/>
    <col min="3335" max="3336" width="7.625" style="1" customWidth="1"/>
    <col min="3337" max="3339" width="6.25" style="1" customWidth="1"/>
    <col min="3340" max="3584" width="11.625" style="1"/>
    <col min="3585" max="3585" width="10.125" style="1" customWidth="1"/>
    <col min="3586" max="3590" width="6.25" style="1" customWidth="1"/>
    <col min="3591" max="3592" width="7.625" style="1" customWidth="1"/>
    <col min="3593" max="3595" width="6.25" style="1" customWidth="1"/>
    <col min="3596" max="3840" width="11.625" style="1"/>
    <col min="3841" max="3841" width="10.125" style="1" customWidth="1"/>
    <col min="3842" max="3846" width="6.25" style="1" customWidth="1"/>
    <col min="3847" max="3848" width="7.625" style="1" customWidth="1"/>
    <col min="3849" max="3851" width="6.25" style="1" customWidth="1"/>
    <col min="3852" max="4096" width="11.625" style="1"/>
    <col min="4097" max="4097" width="10.125" style="1" customWidth="1"/>
    <col min="4098" max="4102" width="6.25" style="1" customWidth="1"/>
    <col min="4103" max="4104" width="7.625" style="1" customWidth="1"/>
    <col min="4105" max="4107" width="6.25" style="1" customWidth="1"/>
    <col min="4108" max="4352" width="11.625" style="1"/>
    <col min="4353" max="4353" width="10.125" style="1" customWidth="1"/>
    <col min="4354" max="4358" width="6.25" style="1" customWidth="1"/>
    <col min="4359" max="4360" width="7.625" style="1" customWidth="1"/>
    <col min="4361" max="4363" width="6.25" style="1" customWidth="1"/>
    <col min="4364" max="4608" width="11.625" style="1"/>
    <col min="4609" max="4609" width="10.125" style="1" customWidth="1"/>
    <col min="4610" max="4614" width="6.25" style="1" customWidth="1"/>
    <col min="4615" max="4616" width="7.625" style="1" customWidth="1"/>
    <col min="4617" max="4619" width="6.25" style="1" customWidth="1"/>
    <col min="4620" max="4864" width="11.625" style="1"/>
    <col min="4865" max="4865" width="10.125" style="1" customWidth="1"/>
    <col min="4866" max="4870" width="6.25" style="1" customWidth="1"/>
    <col min="4871" max="4872" width="7.625" style="1" customWidth="1"/>
    <col min="4873" max="4875" width="6.25" style="1" customWidth="1"/>
    <col min="4876" max="5120" width="11.625" style="1"/>
    <col min="5121" max="5121" width="10.125" style="1" customWidth="1"/>
    <col min="5122" max="5126" width="6.25" style="1" customWidth="1"/>
    <col min="5127" max="5128" width="7.625" style="1" customWidth="1"/>
    <col min="5129" max="5131" width="6.25" style="1" customWidth="1"/>
    <col min="5132" max="5376" width="11.625" style="1"/>
    <col min="5377" max="5377" width="10.125" style="1" customWidth="1"/>
    <col min="5378" max="5382" width="6.25" style="1" customWidth="1"/>
    <col min="5383" max="5384" width="7.625" style="1" customWidth="1"/>
    <col min="5385" max="5387" width="6.25" style="1" customWidth="1"/>
    <col min="5388" max="5632" width="11.625" style="1"/>
    <col min="5633" max="5633" width="10.125" style="1" customWidth="1"/>
    <col min="5634" max="5638" width="6.25" style="1" customWidth="1"/>
    <col min="5639" max="5640" width="7.625" style="1" customWidth="1"/>
    <col min="5641" max="5643" width="6.25" style="1" customWidth="1"/>
    <col min="5644" max="5888" width="11.625" style="1"/>
    <col min="5889" max="5889" width="10.125" style="1" customWidth="1"/>
    <col min="5890" max="5894" width="6.25" style="1" customWidth="1"/>
    <col min="5895" max="5896" width="7.625" style="1" customWidth="1"/>
    <col min="5897" max="5899" width="6.25" style="1" customWidth="1"/>
    <col min="5900" max="6144" width="11.625" style="1"/>
    <col min="6145" max="6145" width="10.125" style="1" customWidth="1"/>
    <col min="6146" max="6150" width="6.25" style="1" customWidth="1"/>
    <col min="6151" max="6152" width="7.625" style="1" customWidth="1"/>
    <col min="6153" max="6155" width="6.25" style="1" customWidth="1"/>
    <col min="6156" max="6400" width="11.625" style="1"/>
    <col min="6401" max="6401" width="10.125" style="1" customWidth="1"/>
    <col min="6402" max="6406" width="6.25" style="1" customWidth="1"/>
    <col min="6407" max="6408" width="7.625" style="1" customWidth="1"/>
    <col min="6409" max="6411" width="6.25" style="1" customWidth="1"/>
    <col min="6412" max="6656" width="11.625" style="1"/>
    <col min="6657" max="6657" width="10.125" style="1" customWidth="1"/>
    <col min="6658" max="6662" width="6.25" style="1" customWidth="1"/>
    <col min="6663" max="6664" width="7.625" style="1" customWidth="1"/>
    <col min="6665" max="6667" width="6.25" style="1" customWidth="1"/>
    <col min="6668" max="6912" width="11.625" style="1"/>
    <col min="6913" max="6913" width="10.125" style="1" customWidth="1"/>
    <col min="6914" max="6918" width="6.25" style="1" customWidth="1"/>
    <col min="6919" max="6920" width="7.625" style="1" customWidth="1"/>
    <col min="6921" max="6923" width="6.25" style="1" customWidth="1"/>
    <col min="6924" max="7168" width="11.625" style="1"/>
    <col min="7169" max="7169" width="10.125" style="1" customWidth="1"/>
    <col min="7170" max="7174" width="6.25" style="1" customWidth="1"/>
    <col min="7175" max="7176" width="7.625" style="1" customWidth="1"/>
    <col min="7177" max="7179" width="6.25" style="1" customWidth="1"/>
    <col min="7180" max="7424" width="11.625" style="1"/>
    <col min="7425" max="7425" width="10.125" style="1" customWidth="1"/>
    <col min="7426" max="7430" width="6.25" style="1" customWidth="1"/>
    <col min="7431" max="7432" width="7.625" style="1" customWidth="1"/>
    <col min="7433" max="7435" width="6.25" style="1" customWidth="1"/>
    <col min="7436" max="7680" width="11.625" style="1"/>
    <col min="7681" max="7681" width="10.125" style="1" customWidth="1"/>
    <col min="7682" max="7686" width="6.25" style="1" customWidth="1"/>
    <col min="7687" max="7688" width="7.625" style="1" customWidth="1"/>
    <col min="7689" max="7691" width="6.25" style="1" customWidth="1"/>
    <col min="7692" max="7936" width="11.625" style="1"/>
    <col min="7937" max="7937" width="10.125" style="1" customWidth="1"/>
    <col min="7938" max="7942" width="6.25" style="1" customWidth="1"/>
    <col min="7943" max="7944" width="7.625" style="1" customWidth="1"/>
    <col min="7945" max="7947" width="6.25" style="1" customWidth="1"/>
    <col min="7948" max="8192" width="11.625" style="1"/>
    <col min="8193" max="8193" width="10.125" style="1" customWidth="1"/>
    <col min="8194" max="8198" width="6.25" style="1" customWidth="1"/>
    <col min="8199" max="8200" width="7.625" style="1" customWidth="1"/>
    <col min="8201" max="8203" width="6.25" style="1" customWidth="1"/>
    <col min="8204" max="8448" width="11.625" style="1"/>
    <col min="8449" max="8449" width="10.125" style="1" customWidth="1"/>
    <col min="8450" max="8454" width="6.25" style="1" customWidth="1"/>
    <col min="8455" max="8456" width="7.625" style="1" customWidth="1"/>
    <col min="8457" max="8459" width="6.25" style="1" customWidth="1"/>
    <col min="8460" max="8704" width="11.625" style="1"/>
    <col min="8705" max="8705" width="10.125" style="1" customWidth="1"/>
    <col min="8706" max="8710" width="6.25" style="1" customWidth="1"/>
    <col min="8711" max="8712" width="7.625" style="1" customWidth="1"/>
    <col min="8713" max="8715" width="6.25" style="1" customWidth="1"/>
    <col min="8716" max="8960" width="11.625" style="1"/>
    <col min="8961" max="8961" width="10.125" style="1" customWidth="1"/>
    <col min="8962" max="8966" width="6.25" style="1" customWidth="1"/>
    <col min="8967" max="8968" width="7.625" style="1" customWidth="1"/>
    <col min="8969" max="8971" width="6.25" style="1" customWidth="1"/>
    <col min="8972" max="9216" width="11.625" style="1"/>
    <col min="9217" max="9217" width="10.125" style="1" customWidth="1"/>
    <col min="9218" max="9222" width="6.25" style="1" customWidth="1"/>
    <col min="9223" max="9224" width="7.625" style="1" customWidth="1"/>
    <col min="9225" max="9227" width="6.25" style="1" customWidth="1"/>
    <col min="9228" max="9472" width="11.625" style="1"/>
    <col min="9473" max="9473" width="10.125" style="1" customWidth="1"/>
    <col min="9474" max="9478" width="6.25" style="1" customWidth="1"/>
    <col min="9479" max="9480" width="7.625" style="1" customWidth="1"/>
    <col min="9481" max="9483" width="6.25" style="1" customWidth="1"/>
    <col min="9484" max="9728" width="11.625" style="1"/>
    <col min="9729" max="9729" width="10.125" style="1" customWidth="1"/>
    <col min="9730" max="9734" width="6.25" style="1" customWidth="1"/>
    <col min="9735" max="9736" width="7.625" style="1" customWidth="1"/>
    <col min="9737" max="9739" width="6.25" style="1" customWidth="1"/>
    <col min="9740" max="9984" width="11.625" style="1"/>
    <col min="9985" max="9985" width="10.125" style="1" customWidth="1"/>
    <col min="9986" max="9990" width="6.25" style="1" customWidth="1"/>
    <col min="9991" max="9992" width="7.625" style="1" customWidth="1"/>
    <col min="9993" max="9995" width="6.25" style="1" customWidth="1"/>
    <col min="9996" max="10240" width="11.625" style="1"/>
    <col min="10241" max="10241" width="10.125" style="1" customWidth="1"/>
    <col min="10242" max="10246" width="6.25" style="1" customWidth="1"/>
    <col min="10247" max="10248" width="7.625" style="1" customWidth="1"/>
    <col min="10249" max="10251" width="6.25" style="1" customWidth="1"/>
    <col min="10252" max="10496" width="11.625" style="1"/>
    <col min="10497" max="10497" width="10.125" style="1" customWidth="1"/>
    <col min="10498" max="10502" width="6.25" style="1" customWidth="1"/>
    <col min="10503" max="10504" width="7.625" style="1" customWidth="1"/>
    <col min="10505" max="10507" width="6.25" style="1" customWidth="1"/>
    <col min="10508" max="10752" width="11.625" style="1"/>
    <col min="10753" max="10753" width="10.125" style="1" customWidth="1"/>
    <col min="10754" max="10758" width="6.25" style="1" customWidth="1"/>
    <col min="10759" max="10760" width="7.625" style="1" customWidth="1"/>
    <col min="10761" max="10763" width="6.25" style="1" customWidth="1"/>
    <col min="10764" max="11008" width="11.625" style="1"/>
    <col min="11009" max="11009" width="10.125" style="1" customWidth="1"/>
    <col min="11010" max="11014" width="6.25" style="1" customWidth="1"/>
    <col min="11015" max="11016" width="7.625" style="1" customWidth="1"/>
    <col min="11017" max="11019" width="6.25" style="1" customWidth="1"/>
    <col min="11020" max="11264" width="11.625" style="1"/>
    <col min="11265" max="11265" width="10.125" style="1" customWidth="1"/>
    <col min="11266" max="11270" width="6.25" style="1" customWidth="1"/>
    <col min="11271" max="11272" width="7.625" style="1" customWidth="1"/>
    <col min="11273" max="11275" width="6.25" style="1" customWidth="1"/>
    <col min="11276" max="11520" width="11.625" style="1"/>
    <col min="11521" max="11521" width="10.125" style="1" customWidth="1"/>
    <col min="11522" max="11526" width="6.25" style="1" customWidth="1"/>
    <col min="11527" max="11528" width="7.625" style="1" customWidth="1"/>
    <col min="11529" max="11531" width="6.25" style="1" customWidth="1"/>
    <col min="11532" max="11776" width="11.625" style="1"/>
    <col min="11777" max="11777" width="10.125" style="1" customWidth="1"/>
    <col min="11778" max="11782" width="6.25" style="1" customWidth="1"/>
    <col min="11783" max="11784" width="7.625" style="1" customWidth="1"/>
    <col min="11785" max="11787" width="6.25" style="1" customWidth="1"/>
    <col min="11788" max="12032" width="11.625" style="1"/>
    <col min="12033" max="12033" width="10.125" style="1" customWidth="1"/>
    <col min="12034" max="12038" width="6.25" style="1" customWidth="1"/>
    <col min="12039" max="12040" width="7.625" style="1" customWidth="1"/>
    <col min="12041" max="12043" width="6.25" style="1" customWidth="1"/>
    <col min="12044" max="12288" width="11.625" style="1"/>
    <col min="12289" max="12289" width="10.125" style="1" customWidth="1"/>
    <col min="12290" max="12294" width="6.25" style="1" customWidth="1"/>
    <col min="12295" max="12296" width="7.625" style="1" customWidth="1"/>
    <col min="12297" max="12299" width="6.25" style="1" customWidth="1"/>
    <col min="12300" max="12544" width="11.625" style="1"/>
    <col min="12545" max="12545" width="10.125" style="1" customWidth="1"/>
    <col min="12546" max="12550" width="6.25" style="1" customWidth="1"/>
    <col min="12551" max="12552" width="7.625" style="1" customWidth="1"/>
    <col min="12553" max="12555" width="6.25" style="1" customWidth="1"/>
    <col min="12556" max="12800" width="11.625" style="1"/>
    <col min="12801" max="12801" width="10.125" style="1" customWidth="1"/>
    <col min="12802" max="12806" width="6.25" style="1" customWidth="1"/>
    <col min="12807" max="12808" width="7.625" style="1" customWidth="1"/>
    <col min="12809" max="12811" width="6.25" style="1" customWidth="1"/>
    <col min="12812" max="13056" width="11.625" style="1"/>
    <col min="13057" max="13057" width="10.125" style="1" customWidth="1"/>
    <col min="13058" max="13062" width="6.25" style="1" customWidth="1"/>
    <col min="13063" max="13064" width="7.625" style="1" customWidth="1"/>
    <col min="13065" max="13067" width="6.25" style="1" customWidth="1"/>
    <col min="13068" max="13312" width="11.625" style="1"/>
    <col min="13313" max="13313" width="10.125" style="1" customWidth="1"/>
    <col min="13314" max="13318" width="6.25" style="1" customWidth="1"/>
    <col min="13319" max="13320" width="7.625" style="1" customWidth="1"/>
    <col min="13321" max="13323" width="6.25" style="1" customWidth="1"/>
    <col min="13324" max="13568" width="11.625" style="1"/>
    <col min="13569" max="13569" width="10.125" style="1" customWidth="1"/>
    <col min="13570" max="13574" width="6.25" style="1" customWidth="1"/>
    <col min="13575" max="13576" width="7.625" style="1" customWidth="1"/>
    <col min="13577" max="13579" width="6.25" style="1" customWidth="1"/>
    <col min="13580" max="13824" width="11.625" style="1"/>
    <col min="13825" max="13825" width="10.125" style="1" customWidth="1"/>
    <col min="13826" max="13830" width="6.25" style="1" customWidth="1"/>
    <col min="13831" max="13832" width="7.625" style="1" customWidth="1"/>
    <col min="13833" max="13835" width="6.25" style="1" customWidth="1"/>
    <col min="13836" max="14080" width="11.625" style="1"/>
    <col min="14081" max="14081" width="10.125" style="1" customWidth="1"/>
    <col min="14082" max="14086" width="6.25" style="1" customWidth="1"/>
    <col min="14087" max="14088" width="7.625" style="1" customWidth="1"/>
    <col min="14089" max="14091" width="6.25" style="1" customWidth="1"/>
    <col min="14092" max="14336" width="11.625" style="1"/>
    <col min="14337" max="14337" width="10.125" style="1" customWidth="1"/>
    <col min="14338" max="14342" width="6.25" style="1" customWidth="1"/>
    <col min="14343" max="14344" width="7.625" style="1" customWidth="1"/>
    <col min="14345" max="14347" width="6.25" style="1" customWidth="1"/>
    <col min="14348" max="14592" width="11.625" style="1"/>
    <col min="14593" max="14593" width="10.125" style="1" customWidth="1"/>
    <col min="14594" max="14598" width="6.25" style="1" customWidth="1"/>
    <col min="14599" max="14600" width="7.625" style="1" customWidth="1"/>
    <col min="14601" max="14603" width="6.25" style="1" customWidth="1"/>
    <col min="14604" max="14848" width="11.625" style="1"/>
    <col min="14849" max="14849" width="10.125" style="1" customWidth="1"/>
    <col min="14850" max="14854" width="6.25" style="1" customWidth="1"/>
    <col min="14855" max="14856" width="7.625" style="1" customWidth="1"/>
    <col min="14857" max="14859" width="6.25" style="1" customWidth="1"/>
    <col min="14860" max="15104" width="11.625" style="1"/>
    <col min="15105" max="15105" width="10.125" style="1" customWidth="1"/>
    <col min="15106" max="15110" width="6.25" style="1" customWidth="1"/>
    <col min="15111" max="15112" width="7.625" style="1" customWidth="1"/>
    <col min="15113" max="15115" width="6.25" style="1" customWidth="1"/>
    <col min="15116" max="15360" width="11.625" style="1"/>
    <col min="15361" max="15361" width="10.125" style="1" customWidth="1"/>
    <col min="15362" max="15366" width="6.25" style="1" customWidth="1"/>
    <col min="15367" max="15368" width="7.625" style="1" customWidth="1"/>
    <col min="15369" max="15371" width="6.25" style="1" customWidth="1"/>
    <col min="15372" max="15616" width="11.625" style="1"/>
    <col min="15617" max="15617" width="10.125" style="1" customWidth="1"/>
    <col min="15618" max="15622" width="6.25" style="1" customWidth="1"/>
    <col min="15623" max="15624" width="7.625" style="1" customWidth="1"/>
    <col min="15625" max="15627" width="6.25" style="1" customWidth="1"/>
    <col min="15628" max="15872" width="11.625" style="1"/>
    <col min="15873" max="15873" width="10.125" style="1" customWidth="1"/>
    <col min="15874" max="15878" width="6.25" style="1" customWidth="1"/>
    <col min="15879" max="15880" width="7.625" style="1" customWidth="1"/>
    <col min="15881" max="15883" width="6.25" style="1" customWidth="1"/>
    <col min="15884" max="16128" width="11.625" style="1"/>
    <col min="16129" max="16129" width="10.125" style="1" customWidth="1"/>
    <col min="16130" max="16134" width="6.25" style="1" customWidth="1"/>
    <col min="16135" max="16136" width="7.625" style="1" customWidth="1"/>
    <col min="16137" max="16139" width="6.25" style="1" customWidth="1"/>
    <col min="16140" max="16384" width="11.625" style="1"/>
  </cols>
  <sheetData>
    <row r="1" spans="1:11" ht="16.5" customHeight="1">
      <c r="A1" s="25" t="s">
        <v>177</v>
      </c>
      <c r="B1" s="31"/>
      <c r="C1" s="31"/>
      <c r="D1" s="31"/>
      <c r="E1" s="31"/>
      <c r="F1" s="31"/>
      <c r="G1" s="31"/>
      <c r="H1" s="31"/>
    </row>
    <row r="2" spans="1:11" ht="11.25" customHeight="1">
      <c r="A2" s="32"/>
      <c r="B2" s="32"/>
      <c r="C2" s="32"/>
      <c r="D2" s="32"/>
      <c r="E2" s="32"/>
      <c r="F2" s="32"/>
      <c r="G2" s="32"/>
      <c r="H2" s="32"/>
      <c r="J2" s="178" t="s">
        <v>176</v>
      </c>
      <c r="K2" s="178"/>
    </row>
    <row r="3" spans="1:11" ht="11.25" customHeight="1">
      <c r="A3" s="33" t="s">
        <v>80</v>
      </c>
      <c r="B3" s="116"/>
      <c r="C3" s="176" t="s">
        <v>81</v>
      </c>
      <c r="D3" s="179"/>
      <c r="E3" s="179"/>
      <c r="F3" s="179"/>
      <c r="G3" s="179"/>
      <c r="H3" s="179"/>
      <c r="I3" s="179"/>
      <c r="J3" s="179"/>
      <c r="K3" s="177"/>
    </row>
    <row r="4" spans="1:11" ht="11.25" customHeight="1">
      <c r="A4" s="34" t="s">
        <v>154</v>
      </c>
      <c r="B4" s="114" t="s">
        <v>82</v>
      </c>
      <c r="C4" s="180" t="s">
        <v>83</v>
      </c>
      <c r="D4" s="176" t="s">
        <v>142</v>
      </c>
      <c r="E4" s="177"/>
      <c r="F4" s="176" t="s">
        <v>143</v>
      </c>
      <c r="G4" s="179"/>
      <c r="H4" s="179"/>
      <c r="I4" s="179"/>
      <c r="J4" s="177"/>
      <c r="K4" s="185" t="s">
        <v>84</v>
      </c>
    </row>
    <row r="5" spans="1:11" ht="11.25" customHeight="1">
      <c r="A5" s="34"/>
      <c r="B5" s="114"/>
      <c r="C5" s="180"/>
      <c r="D5" s="182" t="s">
        <v>85</v>
      </c>
      <c r="E5" s="185" t="s">
        <v>86</v>
      </c>
      <c r="F5" s="186" t="s">
        <v>87</v>
      </c>
      <c r="G5" s="188" t="s">
        <v>88</v>
      </c>
      <c r="H5" s="174" t="s">
        <v>89</v>
      </c>
      <c r="I5" s="176" t="s">
        <v>90</v>
      </c>
      <c r="J5" s="177"/>
      <c r="K5" s="180"/>
    </row>
    <row r="6" spans="1:11" ht="14.25" customHeight="1">
      <c r="A6" s="35"/>
      <c r="B6" s="115"/>
      <c r="C6" s="181"/>
      <c r="D6" s="184"/>
      <c r="E6" s="181"/>
      <c r="F6" s="187"/>
      <c r="G6" s="189"/>
      <c r="H6" s="175"/>
      <c r="I6" s="115" t="s">
        <v>91</v>
      </c>
      <c r="J6" s="115" t="s">
        <v>144</v>
      </c>
      <c r="K6" s="181"/>
    </row>
    <row r="7" spans="1:11" ht="9" customHeight="1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ht="6.75" customHeight="1">
      <c r="A8" s="36"/>
      <c r="B8" s="37"/>
      <c r="C8" s="37"/>
      <c r="D8" s="37"/>
      <c r="E8" s="37"/>
      <c r="F8" s="37"/>
      <c r="G8" s="37"/>
      <c r="H8" s="37"/>
      <c r="I8" s="37"/>
      <c r="J8" s="37"/>
      <c r="K8" s="74"/>
    </row>
    <row r="9" spans="1:11" ht="9" customHeight="1">
      <c r="A9" s="36" t="s">
        <v>202</v>
      </c>
      <c r="B9" s="37">
        <v>4678</v>
      </c>
      <c r="C9" s="37">
        <v>4993</v>
      </c>
      <c r="D9" s="37">
        <v>479</v>
      </c>
      <c r="E9" s="37">
        <v>360</v>
      </c>
      <c r="F9" s="37">
        <v>1145</v>
      </c>
      <c r="G9" s="37">
        <v>1848</v>
      </c>
      <c r="H9" s="37">
        <v>1102</v>
      </c>
      <c r="I9" s="37">
        <v>0</v>
      </c>
      <c r="J9" s="37">
        <v>0</v>
      </c>
      <c r="K9" s="37">
        <v>59</v>
      </c>
    </row>
    <row r="10" spans="1:11" ht="9" customHeight="1">
      <c r="A10" s="36" t="s">
        <v>92</v>
      </c>
      <c r="B10" s="37"/>
      <c r="C10" s="37">
        <v>1728</v>
      </c>
      <c r="D10" s="37">
        <v>353</v>
      </c>
      <c r="E10" s="37">
        <v>192</v>
      </c>
      <c r="F10" s="37">
        <v>667</v>
      </c>
      <c r="G10" s="37">
        <v>468</v>
      </c>
      <c r="H10" s="37">
        <v>6</v>
      </c>
      <c r="I10" s="37">
        <v>0</v>
      </c>
      <c r="J10" s="37">
        <v>0</v>
      </c>
      <c r="K10" s="37">
        <v>42</v>
      </c>
    </row>
    <row r="11" spans="1:11" ht="9" customHeight="1">
      <c r="A11" s="36" t="s">
        <v>93</v>
      </c>
      <c r="B11" s="37"/>
      <c r="C11" s="37">
        <v>3265</v>
      </c>
      <c r="D11" s="37">
        <v>126</v>
      </c>
      <c r="E11" s="37">
        <v>168</v>
      </c>
      <c r="F11" s="37">
        <v>478</v>
      </c>
      <c r="G11" s="37">
        <v>1380</v>
      </c>
      <c r="H11" s="37">
        <v>1096</v>
      </c>
      <c r="I11" s="37">
        <v>0</v>
      </c>
      <c r="J11" s="37">
        <v>0</v>
      </c>
      <c r="K11" s="37">
        <v>17</v>
      </c>
    </row>
    <row r="12" spans="1:11" ht="9" customHeight="1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1:11" ht="9" customHeight="1">
      <c r="A13" s="36" t="s">
        <v>204</v>
      </c>
      <c r="B13" s="37">
        <v>4790</v>
      </c>
      <c r="C13" s="37">
        <v>5135</v>
      </c>
      <c r="D13" s="37">
        <v>437</v>
      </c>
      <c r="E13" s="37">
        <v>335</v>
      </c>
      <c r="F13" s="37">
        <v>1102</v>
      </c>
      <c r="G13" s="37">
        <v>1985</v>
      </c>
      <c r="H13" s="37">
        <v>1222</v>
      </c>
      <c r="I13" s="37">
        <v>0</v>
      </c>
      <c r="J13" s="37">
        <v>0</v>
      </c>
      <c r="K13" s="37">
        <v>54</v>
      </c>
    </row>
    <row r="14" spans="1:11" ht="9" customHeight="1">
      <c r="A14" s="36" t="s">
        <v>92</v>
      </c>
      <c r="B14" s="37"/>
      <c r="C14" s="37">
        <v>1661</v>
      </c>
      <c r="D14" s="37">
        <v>328</v>
      </c>
      <c r="E14" s="37">
        <v>154</v>
      </c>
      <c r="F14" s="37">
        <v>671</v>
      </c>
      <c r="G14" s="37">
        <v>462</v>
      </c>
      <c r="H14" s="37">
        <v>5</v>
      </c>
      <c r="I14" s="37">
        <v>0</v>
      </c>
      <c r="J14" s="37">
        <v>0</v>
      </c>
      <c r="K14" s="37">
        <v>41</v>
      </c>
    </row>
    <row r="15" spans="1:11" ht="9" customHeight="1">
      <c r="A15" s="36" t="s">
        <v>93</v>
      </c>
      <c r="B15" s="37"/>
      <c r="C15" s="37">
        <v>3474</v>
      </c>
      <c r="D15" s="37">
        <v>109</v>
      </c>
      <c r="E15" s="37">
        <v>181</v>
      </c>
      <c r="F15" s="37">
        <v>431</v>
      </c>
      <c r="G15" s="37">
        <v>1523</v>
      </c>
      <c r="H15" s="37">
        <v>1217</v>
      </c>
      <c r="I15" s="37">
        <v>0</v>
      </c>
      <c r="J15" s="37">
        <v>0</v>
      </c>
      <c r="K15" s="37">
        <v>13</v>
      </c>
    </row>
    <row r="16" spans="1:11" ht="9.75" customHeight="1">
      <c r="A16" s="36"/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 ht="9" customHeight="1">
      <c r="A17" s="141" t="s">
        <v>210</v>
      </c>
      <c r="B17" s="142">
        <v>4960</v>
      </c>
      <c r="C17" s="142">
        <v>5345</v>
      </c>
      <c r="D17" s="142">
        <v>431</v>
      </c>
      <c r="E17" s="142">
        <v>333</v>
      </c>
      <c r="F17" s="142">
        <v>1083</v>
      </c>
      <c r="G17" s="142">
        <v>2070</v>
      </c>
      <c r="H17" s="142">
        <v>1379</v>
      </c>
      <c r="I17" s="142">
        <v>0</v>
      </c>
      <c r="J17" s="142">
        <v>0</v>
      </c>
      <c r="K17" s="142">
        <v>49</v>
      </c>
    </row>
    <row r="18" spans="1:11" ht="9" customHeight="1">
      <c r="A18" s="141" t="s">
        <v>92</v>
      </c>
      <c r="B18" s="142"/>
      <c r="C18" s="37">
        <v>1676</v>
      </c>
      <c r="D18" s="142">
        <v>336</v>
      </c>
      <c r="E18" s="142">
        <v>147</v>
      </c>
      <c r="F18" s="142">
        <v>682</v>
      </c>
      <c r="G18" s="142">
        <v>465</v>
      </c>
      <c r="H18" s="142">
        <v>8</v>
      </c>
      <c r="I18" s="142">
        <v>0</v>
      </c>
      <c r="J18" s="142">
        <v>0</v>
      </c>
      <c r="K18" s="142">
        <v>38</v>
      </c>
    </row>
    <row r="19" spans="1:11" ht="9" customHeight="1">
      <c r="A19" s="141" t="s">
        <v>93</v>
      </c>
      <c r="B19" s="142"/>
      <c r="C19" s="142">
        <v>3669</v>
      </c>
      <c r="D19" s="142">
        <v>95</v>
      </c>
      <c r="E19" s="142">
        <v>186</v>
      </c>
      <c r="F19" s="142">
        <v>401</v>
      </c>
      <c r="G19" s="142">
        <v>1605</v>
      </c>
      <c r="H19" s="142">
        <v>1371</v>
      </c>
      <c r="I19" s="142">
        <v>0</v>
      </c>
      <c r="J19" s="142">
        <v>0</v>
      </c>
      <c r="K19" s="142">
        <v>11</v>
      </c>
    </row>
    <row r="20" spans="1:11" ht="9" customHeight="1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42"/>
    </row>
    <row r="21" spans="1:11" ht="9" customHeight="1">
      <c r="A21" s="141" t="s">
        <v>220</v>
      </c>
      <c r="B21" s="142">
        <v>5070</v>
      </c>
      <c r="C21" s="142">
        <v>5513</v>
      </c>
      <c r="D21" s="142">
        <v>412</v>
      </c>
      <c r="E21" s="142">
        <v>314</v>
      </c>
      <c r="F21" s="142">
        <v>1113</v>
      </c>
      <c r="G21" s="142">
        <v>2111</v>
      </c>
      <c r="H21" s="142">
        <v>1514</v>
      </c>
      <c r="I21" s="142">
        <v>0</v>
      </c>
      <c r="J21" s="142">
        <v>0</v>
      </c>
      <c r="K21" s="142">
        <v>49</v>
      </c>
    </row>
    <row r="22" spans="1:11" ht="9" customHeight="1">
      <c r="A22" s="141" t="s">
        <v>92</v>
      </c>
      <c r="B22" s="142"/>
      <c r="C22" s="37">
        <v>1663</v>
      </c>
      <c r="D22" s="142">
        <v>321</v>
      </c>
      <c r="E22" s="142">
        <v>125</v>
      </c>
      <c r="F22" s="142">
        <v>723</v>
      </c>
      <c r="G22" s="142">
        <v>448</v>
      </c>
      <c r="H22" s="142">
        <v>8</v>
      </c>
      <c r="I22" s="142">
        <v>0</v>
      </c>
      <c r="J22" s="142">
        <v>0</v>
      </c>
      <c r="K22" s="142">
        <v>38</v>
      </c>
    </row>
    <row r="23" spans="1:11" ht="9" customHeight="1">
      <c r="A23" s="141" t="s">
        <v>93</v>
      </c>
      <c r="B23" s="142"/>
      <c r="C23" s="142">
        <v>3850</v>
      </c>
      <c r="D23" s="142">
        <v>91</v>
      </c>
      <c r="E23" s="142">
        <v>189</v>
      </c>
      <c r="F23" s="142">
        <v>390</v>
      </c>
      <c r="G23" s="142">
        <v>1663</v>
      </c>
      <c r="H23" s="142">
        <v>1506</v>
      </c>
      <c r="I23" s="142">
        <v>0</v>
      </c>
      <c r="J23" s="142">
        <v>0</v>
      </c>
      <c r="K23" s="142">
        <v>11</v>
      </c>
    </row>
    <row r="24" spans="1:11" ht="9" customHeight="1">
      <c r="A24" s="141"/>
      <c r="B24" s="142"/>
      <c r="C24" s="142"/>
      <c r="D24" s="142"/>
      <c r="E24" s="142"/>
      <c r="F24" s="142"/>
      <c r="G24" s="142"/>
      <c r="H24" s="142"/>
      <c r="I24" s="142"/>
      <c r="J24" s="142"/>
      <c r="K24" s="142"/>
    </row>
    <row r="25" spans="1:11" ht="9" customHeight="1">
      <c r="A25" s="141" t="s">
        <v>232</v>
      </c>
      <c r="B25" s="142">
        <v>5275</v>
      </c>
      <c r="C25" s="142">
        <v>5763</v>
      </c>
      <c r="D25" s="142">
        <v>395</v>
      </c>
      <c r="E25" s="142">
        <v>310</v>
      </c>
      <c r="F25" s="142">
        <v>1166</v>
      </c>
      <c r="G25" s="142">
        <v>2198</v>
      </c>
      <c r="H25" s="142">
        <v>1645</v>
      </c>
      <c r="I25" s="142">
        <v>0</v>
      </c>
      <c r="J25" s="142">
        <v>0</v>
      </c>
      <c r="K25" s="142">
        <v>49</v>
      </c>
    </row>
    <row r="26" spans="1:11" ht="9" customHeight="1">
      <c r="A26" s="141" t="s">
        <v>92</v>
      </c>
      <c r="B26" s="142"/>
      <c r="C26" s="37">
        <v>1679</v>
      </c>
      <c r="D26" s="142">
        <v>309</v>
      </c>
      <c r="E26" s="142">
        <v>121</v>
      </c>
      <c r="F26" s="142">
        <v>743</v>
      </c>
      <c r="G26" s="142">
        <v>462</v>
      </c>
      <c r="H26" s="142">
        <v>7</v>
      </c>
      <c r="I26" s="142">
        <v>0</v>
      </c>
      <c r="J26" s="142">
        <v>0</v>
      </c>
      <c r="K26" s="142">
        <v>37</v>
      </c>
    </row>
    <row r="27" spans="1:11" ht="9" customHeight="1">
      <c r="A27" s="143" t="s">
        <v>93</v>
      </c>
      <c r="B27" s="243"/>
      <c r="C27" s="243">
        <v>4084</v>
      </c>
      <c r="D27" s="243">
        <v>86</v>
      </c>
      <c r="E27" s="243">
        <v>189</v>
      </c>
      <c r="F27" s="243">
        <v>423</v>
      </c>
      <c r="G27" s="243">
        <v>1736</v>
      </c>
      <c r="H27" s="243">
        <v>1638</v>
      </c>
      <c r="I27" s="243">
        <v>0</v>
      </c>
      <c r="J27" s="243">
        <v>0</v>
      </c>
      <c r="K27" s="243">
        <v>12</v>
      </c>
    </row>
  </sheetData>
  <mergeCells count="12">
    <mergeCell ref="H5:H6"/>
    <mergeCell ref="I5:J5"/>
    <mergeCell ref="J2:K2"/>
    <mergeCell ref="C3:K3"/>
    <mergeCell ref="C4:C6"/>
    <mergeCell ref="D4:E4"/>
    <mergeCell ref="F4:J4"/>
    <mergeCell ref="K4:K6"/>
    <mergeCell ref="D5:D6"/>
    <mergeCell ref="E5:E6"/>
    <mergeCell ref="F5:F6"/>
    <mergeCell ref="G5:G6"/>
  </mergeCells>
  <phoneticPr fontId="2"/>
  <pageMargins left="0.74803149606299213" right="0.78740157480314965" top="0.62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938FD-3250-4F06-9ACD-4041F6FACCD7}">
  <sheetPr>
    <pageSetUpPr fitToPage="1"/>
  </sheetPr>
  <dimension ref="A1:W123"/>
  <sheetViews>
    <sheetView showGridLines="0" zoomScale="120" zoomScaleNormal="120" zoomScaleSheetLayoutView="100" workbookViewId="0">
      <pane xSplit="1" ySplit="5" topLeftCell="B99" activePane="bottomRight" state="frozen"/>
      <selection pane="topRight" activeCell="B1" sqref="B1"/>
      <selection pane="bottomLeft" activeCell="A6" sqref="A6"/>
      <selection pane="bottomRight" activeCell="X113" sqref="X113"/>
    </sheetView>
  </sheetViews>
  <sheetFormatPr defaultRowHeight="11.25" customHeight="1"/>
  <cols>
    <col min="1" max="1" width="2.5" style="38" customWidth="1"/>
    <col min="2" max="2" width="2.375" style="38" bestFit="1" customWidth="1"/>
    <col min="3" max="3" width="1.125" style="38" customWidth="1"/>
    <col min="4" max="4" width="5.625" style="38" customWidth="1"/>
    <col min="5" max="5" width="4.625" style="38" bestFit="1" customWidth="1"/>
    <col min="6" max="6" width="4.375" style="38" customWidth="1"/>
    <col min="7" max="7" width="4.625" style="38" bestFit="1" customWidth="1"/>
    <col min="8" max="8" width="5" style="38" bestFit="1" customWidth="1"/>
    <col min="9" max="12" width="4.625" style="38" bestFit="1" customWidth="1"/>
    <col min="13" max="13" width="4.75" style="38" bestFit="1" customWidth="1"/>
    <col min="14" max="19" width="4.625" style="38" bestFit="1" customWidth="1"/>
    <col min="20" max="20" width="4.5" style="38" bestFit="1" customWidth="1"/>
    <col min="21" max="21" width="4.375" style="38" customWidth="1"/>
    <col min="22" max="22" width="5.5" style="38" customWidth="1"/>
    <col min="23" max="256" width="9" style="38"/>
    <col min="257" max="257" width="2.5" style="38" customWidth="1"/>
    <col min="258" max="258" width="2.375" style="38" bestFit="1" customWidth="1"/>
    <col min="259" max="259" width="1.125" style="38" customWidth="1"/>
    <col min="260" max="260" width="5.625" style="38" customWidth="1"/>
    <col min="261" max="261" width="4.625" style="38" bestFit="1" customWidth="1"/>
    <col min="262" max="262" width="4.375" style="38" customWidth="1"/>
    <col min="263" max="263" width="4.625" style="38" bestFit="1" customWidth="1"/>
    <col min="264" max="264" width="5" style="38" bestFit="1" customWidth="1"/>
    <col min="265" max="268" width="4.625" style="38" bestFit="1" customWidth="1"/>
    <col min="269" max="269" width="4.75" style="38" bestFit="1" customWidth="1"/>
    <col min="270" max="275" width="4.625" style="38" bestFit="1" customWidth="1"/>
    <col min="276" max="276" width="4.5" style="38" bestFit="1" customWidth="1"/>
    <col min="277" max="277" width="4.375" style="38" customWidth="1"/>
    <col min="278" max="278" width="5.5" style="38" customWidth="1"/>
    <col min="279" max="512" width="9" style="38"/>
    <col min="513" max="513" width="2.5" style="38" customWidth="1"/>
    <col min="514" max="514" width="2.375" style="38" bestFit="1" customWidth="1"/>
    <col min="515" max="515" width="1.125" style="38" customWidth="1"/>
    <col min="516" max="516" width="5.625" style="38" customWidth="1"/>
    <col min="517" max="517" width="4.625" style="38" bestFit="1" customWidth="1"/>
    <col min="518" max="518" width="4.375" style="38" customWidth="1"/>
    <col min="519" max="519" width="4.625" style="38" bestFit="1" customWidth="1"/>
    <col min="520" max="520" width="5" style="38" bestFit="1" customWidth="1"/>
    <col min="521" max="524" width="4.625" style="38" bestFit="1" customWidth="1"/>
    <col min="525" max="525" width="4.75" style="38" bestFit="1" customWidth="1"/>
    <col min="526" max="531" width="4.625" style="38" bestFit="1" customWidth="1"/>
    <col min="532" max="532" width="4.5" style="38" bestFit="1" customWidth="1"/>
    <col min="533" max="533" width="4.375" style="38" customWidth="1"/>
    <col min="534" max="534" width="5.5" style="38" customWidth="1"/>
    <col min="535" max="768" width="9" style="38"/>
    <col min="769" max="769" width="2.5" style="38" customWidth="1"/>
    <col min="770" max="770" width="2.375" style="38" bestFit="1" customWidth="1"/>
    <col min="771" max="771" width="1.125" style="38" customWidth="1"/>
    <col min="772" max="772" width="5.625" style="38" customWidth="1"/>
    <col min="773" max="773" width="4.625" style="38" bestFit="1" customWidth="1"/>
    <col min="774" max="774" width="4.375" style="38" customWidth="1"/>
    <col min="775" max="775" width="4.625" style="38" bestFit="1" customWidth="1"/>
    <col min="776" max="776" width="5" style="38" bestFit="1" customWidth="1"/>
    <col min="777" max="780" width="4.625" style="38" bestFit="1" customWidth="1"/>
    <col min="781" max="781" width="4.75" style="38" bestFit="1" customWidth="1"/>
    <col min="782" max="787" width="4.625" style="38" bestFit="1" customWidth="1"/>
    <col min="788" max="788" width="4.5" style="38" bestFit="1" customWidth="1"/>
    <col min="789" max="789" width="4.375" style="38" customWidth="1"/>
    <col min="790" max="790" width="5.5" style="38" customWidth="1"/>
    <col min="791" max="1024" width="9" style="38"/>
    <col min="1025" max="1025" width="2.5" style="38" customWidth="1"/>
    <col min="1026" max="1026" width="2.375" style="38" bestFit="1" customWidth="1"/>
    <col min="1027" max="1027" width="1.125" style="38" customWidth="1"/>
    <col min="1028" max="1028" width="5.625" style="38" customWidth="1"/>
    <col min="1029" max="1029" width="4.625" style="38" bestFit="1" customWidth="1"/>
    <col min="1030" max="1030" width="4.375" style="38" customWidth="1"/>
    <col min="1031" max="1031" width="4.625" style="38" bestFit="1" customWidth="1"/>
    <col min="1032" max="1032" width="5" style="38" bestFit="1" customWidth="1"/>
    <col min="1033" max="1036" width="4.625" style="38" bestFit="1" customWidth="1"/>
    <col min="1037" max="1037" width="4.75" style="38" bestFit="1" customWidth="1"/>
    <col min="1038" max="1043" width="4.625" style="38" bestFit="1" customWidth="1"/>
    <col min="1044" max="1044" width="4.5" style="38" bestFit="1" customWidth="1"/>
    <col min="1045" max="1045" width="4.375" style="38" customWidth="1"/>
    <col min="1046" max="1046" width="5.5" style="38" customWidth="1"/>
    <col min="1047" max="1280" width="9" style="38"/>
    <col min="1281" max="1281" width="2.5" style="38" customWidth="1"/>
    <col min="1282" max="1282" width="2.375" style="38" bestFit="1" customWidth="1"/>
    <col min="1283" max="1283" width="1.125" style="38" customWidth="1"/>
    <col min="1284" max="1284" width="5.625" style="38" customWidth="1"/>
    <col min="1285" max="1285" width="4.625" style="38" bestFit="1" customWidth="1"/>
    <col min="1286" max="1286" width="4.375" style="38" customWidth="1"/>
    <col min="1287" max="1287" width="4.625" style="38" bestFit="1" customWidth="1"/>
    <col min="1288" max="1288" width="5" style="38" bestFit="1" customWidth="1"/>
    <col min="1289" max="1292" width="4.625" style="38" bestFit="1" customWidth="1"/>
    <col min="1293" max="1293" width="4.75" style="38" bestFit="1" customWidth="1"/>
    <col min="1294" max="1299" width="4.625" style="38" bestFit="1" customWidth="1"/>
    <col min="1300" max="1300" width="4.5" style="38" bestFit="1" customWidth="1"/>
    <col min="1301" max="1301" width="4.375" style="38" customWidth="1"/>
    <col min="1302" max="1302" width="5.5" style="38" customWidth="1"/>
    <col min="1303" max="1536" width="9" style="38"/>
    <col min="1537" max="1537" width="2.5" style="38" customWidth="1"/>
    <col min="1538" max="1538" width="2.375" style="38" bestFit="1" customWidth="1"/>
    <col min="1539" max="1539" width="1.125" style="38" customWidth="1"/>
    <col min="1540" max="1540" width="5.625" style="38" customWidth="1"/>
    <col min="1541" max="1541" width="4.625" style="38" bestFit="1" customWidth="1"/>
    <col min="1542" max="1542" width="4.375" style="38" customWidth="1"/>
    <col min="1543" max="1543" width="4.625" style="38" bestFit="1" customWidth="1"/>
    <col min="1544" max="1544" width="5" style="38" bestFit="1" customWidth="1"/>
    <col min="1545" max="1548" width="4.625" style="38" bestFit="1" customWidth="1"/>
    <col min="1549" max="1549" width="4.75" style="38" bestFit="1" customWidth="1"/>
    <col min="1550" max="1555" width="4.625" style="38" bestFit="1" customWidth="1"/>
    <col min="1556" max="1556" width="4.5" style="38" bestFit="1" customWidth="1"/>
    <col min="1557" max="1557" width="4.375" style="38" customWidth="1"/>
    <col min="1558" max="1558" width="5.5" style="38" customWidth="1"/>
    <col min="1559" max="1792" width="9" style="38"/>
    <col min="1793" max="1793" width="2.5" style="38" customWidth="1"/>
    <col min="1794" max="1794" width="2.375" style="38" bestFit="1" customWidth="1"/>
    <col min="1795" max="1795" width="1.125" style="38" customWidth="1"/>
    <col min="1796" max="1796" width="5.625" style="38" customWidth="1"/>
    <col min="1797" max="1797" width="4.625" style="38" bestFit="1" customWidth="1"/>
    <col min="1798" max="1798" width="4.375" style="38" customWidth="1"/>
    <col min="1799" max="1799" width="4.625" style="38" bestFit="1" customWidth="1"/>
    <col min="1800" max="1800" width="5" style="38" bestFit="1" customWidth="1"/>
    <col min="1801" max="1804" width="4.625" style="38" bestFit="1" customWidth="1"/>
    <col min="1805" max="1805" width="4.75" style="38" bestFit="1" customWidth="1"/>
    <col min="1806" max="1811" width="4.625" style="38" bestFit="1" customWidth="1"/>
    <col min="1812" max="1812" width="4.5" style="38" bestFit="1" customWidth="1"/>
    <col min="1813" max="1813" width="4.375" style="38" customWidth="1"/>
    <col min="1814" max="1814" width="5.5" style="38" customWidth="1"/>
    <col min="1815" max="2048" width="9" style="38"/>
    <col min="2049" max="2049" width="2.5" style="38" customWidth="1"/>
    <col min="2050" max="2050" width="2.375" style="38" bestFit="1" customWidth="1"/>
    <col min="2051" max="2051" width="1.125" style="38" customWidth="1"/>
    <col min="2052" max="2052" width="5.625" style="38" customWidth="1"/>
    <col min="2053" max="2053" width="4.625" style="38" bestFit="1" customWidth="1"/>
    <col min="2054" max="2054" width="4.375" style="38" customWidth="1"/>
    <col min="2055" max="2055" width="4.625" style="38" bestFit="1" customWidth="1"/>
    <col min="2056" max="2056" width="5" style="38" bestFit="1" customWidth="1"/>
    <col min="2057" max="2060" width="4.625" style="38" bestFit="1" customWidth="1"/>
    <col min="2061" max="2061" width="4.75" style="38" bestFit="1" customWidth="1"/>
    <col min="2062" max="2067" width="4.625" style="38" bestFit="1" customWidth="1"/>
    <col min="2068" max="2068" width="4.5" style="38" bestFit="1" customWidth="1"/>
    <col min="2069" max="2069" width="4.375" style="38" customWidth="1"/>
    <col min="2070" max="2070" width="5.5" style="38" customWidth="1"/>
    <col min="2071" max="2304" width="9" style="38"/>
    <col min="2305" max="2305" width="2.5" style="38" customWidth="1"/>
    <col min="2306" max="2306" width="2.375" style="38" bestFit="1" customWidth="1"/>
    <col min="2307" max="2307" width="1.125" style="38" customWidth="1"/>
    <col min="2308" max="2308" width="5.625" style="38" customWidth="1"/>
    <col min="2309" max="2309" width="4.625" style="38" bestFit="1" customWidth="1"/>
    <col min="2310" max="2310" width="4.375" style="38" customWidth="1"/>
    <col min="2311" max="2311" width="4.625" style="38" bestFit="1" customWidth="1"/>
    <col min="2312" max="2312" width="5" style="38" bestFit="1" customWidth="1"/>
    <col min="2313" max="2316" width="4.625" style="38" bestFit="1" customWidth="1"/>
    <col min="2317" max="2317" width="4.75" style="38" bestFit="1" customWidth="1"/>
    <col min="2318" max="2323" width="4.625" style="38" bestFit="1" customWidth="1"/>
    <col min="2324" max="2324" width="4.5" style="38" bestFit="1" customWidth="1"/>
    <col min="2325" max="2325" width="4.375" style="38" customWidth="1"/>
    <col min="2326" max="2326" width="5.5" style="38" customWidth="1"/>
    <col min="2327" max="2560" width="9" style="38"/>
    <col min="2561" max="2561" width="2.5" style="38" customWidth="1"/>
    <col min="2562" max="2562" width="2.375" style="38" bestFit="1" customWidth="1"/>
    <col min="2563" max="2563" width="1.125" style="38" customWidth="1"/>
    <col min="2564" max="2564" width="5.625" style="38" customWidth="1"/>
    <col min="2565" max="2565" width="4.625" style="38" bestFit="1" customWidth="1"/>
    <col min="2566" max="2566" width="4.375" style="38" customWidth="1"/>
    <col min="2567" max="2567" width="4.625" style="38" bestFit="1" customWidth="1"/>
    <col min="2568" max="2568" width="5" style="38" bestFit="1" customWidth="1"/>
    <col min="2569" max="2572" width="4.625" style="38" bestFit="1" customWidth="1"/>
    <col min="2573" max="2573" width="4.75" style="38" bestFit="1" customWidth="1"/>
    <col min="2574" max="2579" width="4.625" style="38" bestFit="1" customWidth="1"/>
    <col min="2580" max="2580" width="4.5" style="38" bestFit="1" customWidth="1"/>
    <col min="2581" max="2581" width="4.375" style="38" customWidth="1"/>
    <col min="2582" max="2582" width="5.5" style="38" customWidth="1"/>
    <col min="2583" max="2816" width="9" style="38"/>
    <col min="2817" max="2817" width="2.5" style="38" customWidth="1"/>
    <col min="2818" max="2818" width="2.375" style="38" bestFit="1" customWidth="1"/>
    <col min="2819" max="2819" width="1.125" style="38" customWidth="1"/>
    <col min="2820" max="2820" width="5.625" style="38" customWidth="1"/>
    <col min="2821" max="2821" width="4.625" style="38" bestFit="1" customWidth="1"/>
    <col min="2822" max="2822" width="4.375" style="38" customWidth="1"/>
    <col min="2823" max="2823" width="4.625" style="38" bestFit="1" customWidth="1"/>
    <col min="2824" max="2824" width="5" style="38" bestFit="1" customWidth="1"/>
    <col min="2825" max="2828" width="4.625" style="38" bestFit="1" customWidth="1"/>
    <col min="2829" max="2829" width="4.75" style="38" bestFit="1" customWidth="1"/>
    <col min="2830" max="2835" width="4.625" style="38" bestFit="1" customWidth="1"/>
    <col min="2836" max="2836" width="4.5" style="38" bestFit="1" customWidth="1"/>
    <col min="2837" max="2837" width="4.375" style="38" customWidth="1"/>
    <col min="2838" max="2838" width="5.5" style="38" customWidth="1"/>
    <col min="2839" max="3072" width="9" style="38"/>
    <col min="3073" max="3073" width="2.5" style="38" customWidth="1"/>
    <col min="3074" max="3074" width="2.375" style="38" bestFit="1" customWidth="1"/>
    <col min="3075" max="3075" width="1.125" style="38" customWidth="1"/>
    <col min="3076" max="3076" width="5.625" style="38" customWidth="1"/>
    <col min="3077" max="3077" width="4.625" style="38" bestFit="1" customWidth="1"/>
    <col min="3078" max="3078" width="4.375" style="38" customWidth="1"/>
    <col min="3079" max="3079" width="4.625" style="38" bestFit="1" customWidth="1"/>
    <col min="3080" max="3080" width="5" style="38" bestFit="1" customWidth="1"/>
    <col min="3081" max="3084" width="4.625" style="38" bestFit="1" customWidth="1"/>
    <col min="3085" max="3085" width="4.75" style="38" bestFit="1" customWidth="1"/>
    <col min="3086" max="3091" width="4.625" style="38" bestFit="1" customWidth="1"/>
    <col min="3092" max="3092" width="4.5" style="38" bestFit="1" customWidth="1"/>
    <col min="3093" max="3093" width="4.375" style="38" customWidth="1"/>
    <col min="3094" max="3094" width="5.5" style="38" customWidth="1"/>
    <col min="3095" max="3328" width="9" style="38"/>
    <col min="3329" max="3329" width="2.5" style="38" customWidth="1"/>
    <col min="3330" max="3330" width="2.375" style="38" bestFit="1" customWidth="1"/>
    <col min="3331" max="3331" width="1.125" style="38" customWidth="1"/>
    <col min="3332" max="3332" width="5.625" style="38" customWidth="1"/>
    <col min="3333" max="3333" width="4.625" style="38" bestFit="1" customWidth="1"/>
    <col min="3334" max="3334" width="4.375" style="38" customWidth="1"/>
    <col min="3335" max="3335" width="4.625" style="38" bestFit="1" customWidth="1"/>
    <col min="3336" max="3336" width="5" style="38" bestFit="1" customWidth="1"/>
    <col min="3337" max="3340" width="4.625" style="38" bestFit="1" customWidth="1"/>
    <col min="3341" max="3341" width="4.75" style="38" bestFit="1" customWidth="1"/>
    <col min="3342" max="3347" width="4.625" style="38" bestFit="1" customWidth="1"/>
    <col min="3348" max="3348" width="4.5" style="38" bestFit="1" customWidth="1"/>
    <col min="3349" max="3349" width="4.375" style="38" customWidth="1"/>
    <col min="3350" max="3350" width="5.5" style="38" customWidth="1"/>
    <col min="3351" max="3584" width="9" style="38"/>
    <col min="3585" max="3585" width="2.5" style="38" customWidth="1"/>
    <col min="3586" max="3586" width="2.375" style="38" bestFit="1" customWidth="1"/>
    <col min="3587" max="3587" width="1.125" style="38" customWidth="1"/>
    <col min="3588" max="3588" width="5.625" style="38" customWidth="1"/>
    <col min="3589" max="3589" width="4.625" style="38" bestFit="1" customWidth="1"/>
    <col min="3590" max="3590" width="4.375" style="38" customWidth="1"/>
    <col min="3591" max="3591" width="4.625" style="38" bestFit="1" customWidth="1"/>
    <col min="3592" max="3592" width="5" style="38" bestFit="1" customWidth="1"/>
    <col min="3593" max="3596" width="4.625" style="38" bestFit="1" customWidth="1"/>
    <col min="3597" max="3597" width="4.75" style="38" bestFit="1" customWidth="1"/>
    <col min="3598" max="3603" width="4.625" style="38" bestFit="1" customWidth="1"/>
    <col min="3604" max="3604" width="4.5" style="38" bestFit="1" customWidth="1"/>
    <col min="3605" max="3605" width="4.375" style="38" customWidth="1"/>
    <col min="3606" max="3606" width="5.5" style="38" customWidth="1"/>
    <col min="3607" max="3840" width="9" style="38"/>
    <col min="3841" max="3841" width="2.5" style="38" customWidth="1"/>
    <col min="3842" max="3842" width="2.375" style="38" bestFit="1" customWidth="1"/>
    <col min="3843" max="3843" width="1.125" style="38" customWidth="1"/>
    <col min="3844" max="3844" width="5.625" style="38" customWidth="1"/>
    <col min="3845" max="3845" width="4.625" style="38" bestFit="1" customWidth="1"/>
    <col min="3846" max="3846" width="4.375" style="38" customWidth="1"/>
    <col min="3847" max="3847" width="4.625" style="38" bestFit="1" customWidth="1"/>
    <col min="3848" max="3848" width="5" style="38" bestFit="1" customWidth="1"/>
    <col min="3849" max="3852" width="4.625" style="38" bestFit="1" customWidth="1"/>
    <col min="3853" max="3853" width="4.75" style="38" bestFit="1" customWidth="1"/>
    <col min="3854" max="3859" width="4.625" style="38" bestFit="1" customWidth="1"/>
    <col min="3860" max="3860" width="4.5" style="38" bestFit="1" customWidth="1"/>
    <col min="3861" max="3861" width="4.375" style="38" customWidth="1"/>
    <col min="3862" max="3862" width="5.5" style="38" customWidth="1"/>
    <col min="3863" max="4096" width="9" style="38"/>
    <col min="4097" max="4097" width="2.5" style="38" customWidth="1"/>
    <col min="4098" max="4098" width="2.375" style="38" bestFit="1" customWidth="1"/>
    <col min="4099" max="4099" width="1.125" style="38" customWidth="1"/>
    <col min="4100" max="4100" width="5.625" style="38" customWidth="1"/>
    <col min="4101" max="4101" width="4.625" style="38" bestFit="1" customWidth="1"/>
    <col min="4102" max="4102" width="4.375" style="38" customWidth="1"/>
    <col min="4103" max="4103" width="4.625" style="38" bestFit="1" customWidth="1"/>
    <col min="4104" max="4104" width="5" style="38" bestFit="1" customWidth="1"/>
    <col min="4105" max="4108" width="4.625" style="38" bestFit="1" customWidth="1"/>
    <col min="4109" max="4109" width="4.75" style="38" bestFit="1" customWidth="1"/>
    <col min="4110" max="4115" width="4.625" style="38" bestFit="1" customWidth="1"/>
    <col min="4116" max="4116" width="4.5" style="38" bestFit="1" customWidth="1"/>
    <col min="4117" max="4117" width="4.375" style="38" customWidth="1"/>
    <col min="4118" max="4118" width="5.5" style="38" customWidth="1"/>
    <col min="4119" max="4352" width="9" style="38"/>
    <col min="4353" max="4353" width="2.5" style="38" customWidth="1"/>
    <col min="4354" max="4354" width="2.375" style="38" bestFit="1" customWidth="1"/>
    <col min="4355" max="4355" width="1.125" style="38" customWidth="1"/>
    <col min="4356" max="4356" width="5.625" style="38" customWidth="1"/>
    <col min="4357" max="4357" width="4.625" style="38" bestFit="1" customWidth="1"/>
    <col min="4358" max="4358" width="4.375" style="38" customWidth="1"/>
    <col min="4359" max="4359" width="4.625" style="38" bestFit="1" customWidth="1"/>
    <col min="4360" max="4360" width="5" style="38" bestFit="1" customWidth="1"/>
    <col min="4361" max="4364" width="4.625" style="38" bestFit="1" customWidth="1"/>
    <col min="4365" max="4365" width="4.75" style="38" bestFit="1" customWidth="1"/>
    <col min="4366" max="4371" width="4.625" style="38" bestFit="1" customWidth="1"/>
    <col min="4372" max="4372" width="4.5" style="38" bestFit="1" customWidth="1"/>
    <col min="4373" max="4373" width="4.375" style="38" customWidth="1"/>
    <col min="4374" max="4374" width="5.5" style="38" customWidth="1"/>
    <col min="4375" max="4608" width="9" style="38"/>
    <col min="4609" max="4609" width="2.5" style="38" customWidth="1"/>
    <col min="4610" max="4610" width="2.375" style="38" bestFit="1" customWidth="1"/>
    <col min="4611" max="4611" width="1.125" style="38" customWidth="1"/>
    <col min="4612" max="4612" width="5.625" style="38" customWidth="1"/>
    <col min="4613" max="4613" width="4.625" style="38" bestFit="1" customWidth="1"/>
    <col min="4614" max="4614" width="4.375" style="38" customWidth="1"/>
    <col min="4615" max="4615" width="4.625" style="38" bestFit="1" customWidth="1"/>
    <col min="4616" max="4616" width="5" style="38" bestFit="1" customWidth="1"/>
    <col min="4617" max="4620" width="4.625" style="38" bestFit="1" customWidth="1"/>
    <col min="4621" max="4621" width="4.75" style="38" bestFit="1" customWidth="1"/>
    <col min="4622" max="4627" width="4.625" style="38" bestFit="1" customWidth="1"/>
    <col min="4628" max="4628" width="4.5" style="38" bestFit="1" customWidth="1"/>
    <col min="4629" max="4629" width="4.375" style="38" customWidth="1"/>
    <col min="4630" max="4630" width="5.5" style="38" customWidth="1"/>
    <col min="4631" max="4864" width="9" style="38"/>
    <col min="4865" max="4865" width="2.5" style="38" customWidth="1"/>
    <col min="4866" max="4866" width="2.375" style="38" bestFit="1" customWidth="1"/>
    <col min="4867" max="4867" width="1.125" style="38" customWidth="1"/>
    <col min="4868" max="4868" width="5.625" style="38" customWidth="1"/>
    <col min="4869" max="4869" width="4.625" style="38" bestFit="1" customWidth="1"/>
    <col min="4870" max="4870" width="4.375" style="38" customWidth="1"/>
    <col min="4871" max="4871" width="4.625" style="38" bestFit="1" customWidth="1"/>
    <col min="4872" max="4872" width="5" style="38" bestFit="1" customWidth="1"/>
    <col min="4873" max="4876" width="4.625" style="38" bestFit="1" customWidth="1"/>
    <col min="4877" max="4877" width="4.75" style="38" bestFit="1" customWidth="1"/>
    <col min="4878" max="4883" width="4.625" style="38" bestFit="1" customWidth="1"/>
    <col min="4884" max="4884" width="4.5" style="38" bestFit="1" customWidth="1"/>
    <col min="4885" max="4885" width="4.375" style="38" customWidth="1"/>
    <col min="4886" max="4886" width="5.5" style="38" customWidth="1"/>
    <col min="4887" max="5120" width="9" style="38"/>
    <col min="5121" max="5121" width="2.5" style="38" customWidth="1"/>
    <col min="5122" max="5122" width="2.375" style="38" bestFit="1" customWidth="1"/>
    <col min="5123" max="5123" width="1.125" style="38" customWidth="1"/>
    <col min="5124" max="5124" width="5.625" style="38" customWidth="1"/>
    <col min="5125" max="5125" width="4.625" style="38" bestFit="1" customWidth="1"/>
    <col min="5126" max="5126" width="4.375" style="38" customWidth="1"/>
    <col min="5127" max="5127" width="4.625" style="38" bestFit="1" customWidth="1"/>
    <col min="5128" max="5128" width="5" style="38" bestFit="1" customWidth="1"/>
    <col min="5129" max="5132" width="4.625" style="38" bestFit="1" customWidth="1"/>
    <col min="5133" max="5133" width="4.75" style="38" bestFit="1" customWidth="1"/>
    <col min="5134" max="5139" width="4.625" style="38" bestFit="1" customWidth="1"/>
    <col min="5140" max="5140" width="4.5" style="38" bestFit="1" customWidth="1"/>
    <col min="5141" max="5141" width="4.375" style="38" customWidth="1"/>
    <col min="5142" max="5142" width="5.5" style="38" customWidth="1"/>
    <col min="5143" max="5376" width="9" style="38"/>
    <col min="5377" max="5377" width="2.5" style="38" customWidth="1"/>
    <col min="5378" max="5378" width="2.375" style="38" bestFit="1" customWidth="1"/>
    <col min="5379" max="5379" width="1.125" style="38" customWidth="1"/>
    <col min="5380" max="5380" width="5.625" style="38" customWidth="1"/>
    <col min="5381" max="5381" width="4.625" style="38" bestFit="1" customWidth="1"/>
    <col min="5382" max="5382" width="4.375" style="38" customWidth="1"/>
    <col min="5383" max="5383" width="4.625" style="38" bestFit="1" customWidth="1"/>
    <col min="5384" max="5384" width="5" style="38" bestFit="1" customWidth="1"/>
    <col min="5385" max="5388" width="4.625" style="38" bestFit="1" customWidth="1"/>
    <col min="5389" max="5389" width="4.75" style="38" bestFit="1" customWidth="1"/>
    <col min="5390" max="5395" width="4.625" style="38" bestFit="1" customWidth="1"/>
    <col min="5396" max="5396" width="4.5" style="38" bestFit="1" customWidth="1"/>
    <col min="5397" max="5397" width="4.375" style="38" customWidth="1"/>
    <col min="5398" max="5398" width="5.5" style="38" customWidth="1"/>
    <col min="5399" max="5632" width="9" style="38"/>
    <col min="5633" max="5633" width="2.5" style="38" customWidth="1"/>
    <col min="5634" max="5634" width="2.375" style="38" bestFit="1" customWidth="1"/>
    <col min="5635" max="5635" width="1.125" style="38" customWidth="1"/>
    <col min="5636" max="5636" width="5.625" style="38" customWidth="1"/>
    <col min="5637" max="5637" width="4.625" style="38" bestFit="1" customWidth="1"/>
    <col min="5638" max="5638" width="4.375" style="38" customWidth="1"/>
    <col min="5639" max="5639" width="4.625" style="38" bestFit="1" customWidth="1"/>
    <col min="5640" max="5640" width="5" style="38" bestFit="1" customWidth="1"/>
    <col min="5641" max="5644" width="4.625" style="38" bestFit="1" customWidth="1"/>
    <col min="5645" max="5645" width="4.75" style="38" bestFit="1" customWidth="1"/>
    <col min="5646" max="5651" width="4.625" style="38" bestFit="1" customWidth="1"/>
    <col min="5652" max="5652" width="4.5" style="38" bestFit="1" customWidth="1"/>
    <col min="5653" max="5653" width="4.375" style="38" customWidth="1"/>
    <col min="5654" max="5654" width="5.5" style="38" customWidth="1"/>
    <col min="5655" max="5888" width="9" style="38"/>
    <col min="5889" max="5889" width="2.5" style="38" customWidth="1"/>
    <col min="5890" max="5890" width="2.375" style="38" bestFit="1" customWidth="1"/>
    <col min="5891" max="5891" width="1.125" style="38" customWidth="1"/>
    <col min="5892" max="5892" width="5.625" style="38" customWidth="1"/>
    <col min="5893" max="5893" width="4.625" style="38" bestFit="1" customWidth="1"/>
    <col min="5894" max="5894" width="4.375" style="38" customWidth="1"/>
    <col min="5895" max="5895" width="4.625" style="38" bestFit="1" customWidth="1"/>
    <col min="5896" max="5896" width="5" style="38" bestFit="1" customWidth="1"/>
    <col min="5897" max="5900" width="4.625" style="38" bestFit="1" customWidth="1"/>
    <col min="5901" max="5901" width="4.75" style="38" bestFit="1" customWidth="1"/>
    <col min="5902" max="5907" width="4.625" style="38" bestFit="1" customWidth="1"/>
    <col min="5908" max="5908" width="4.5" style="38" bestFit="1" customWidth="1"/>
    <col min="5909" max="5909" width="4.375" style="38" customWidth="1"/>
    <col min="5910" max="5910" width="5.5" style="38" customWidth="1"/>
    <col min="5911" max="6144" width="9" style="38"/>
    <col min="6145" max="6145" width="2.5" style="38" customWidth="1"/>
    <col min="6146" max="6146" width="2.375" style="38" bestFit="1" customWidth="1"/>
    <col min="6147" max="6147" width="1.125" style="38" customWidth="1"/>
    <col min="6148" max="6148" width="5.625" style="38" customWidth="1"/>
    <col min="6149" max="6149" width="4.625" style="38" bestFit="1" customWidth="1"/>
    <col min="6150" max="6150" width="4.375" style="38" customWidth="1"/>
    <col min="6151" max="6151" width="4.625" style="38" bestFit="1" customWidth="1"/>
    <col min="6152" max="6152" width="5" style="38" bestFit="1" customWidth="1"/>
    <col min="6153" max="6156" width="4.625" style="38" bestFit="1" customWidth="1"/>
    <col min="6157" max="6157" width="4.75" style="38" bestFit="1" customWidth="1"/>
    <col min="6158" max="6163" width="4.625" style="38" bestFit="1" customWidth="1"/>
    <col min="6164" max="6164" width="4.5" style="38" bestFit="1" customWidth="1"/>
    <col min="6165" max="6165" width="4.375" style="38" customWidth="1"/>
    <col min="6166" max="6166" width="5.5" style="38" customWidth="1"/>
    <col min="6167" max="6400" width="9" style="38"/>
    <col min="6401" max="6401" width="2.5" style="38" customWidth="1"/>
    <col min="6402" max="6402" width="2.375" style="38" bestFit="1" customWidth="1"/>
    <col min="6403" max="6403" width="1.125" style="38" customWidth="1"/>
    <col min="6404" max="6404" width="5.625" style="38" customWidth="1"/>
    <col min="6405" max="6405" width="4.625" style="38" bestFit="1" customWidth="1"/>
    <col min="6406" max="6406" width="4.375" style="38" customWidth="1"/>
    <col min="6407" max="6407" width="4.625" style="38" bestFit="1" customWidth="1"/>
    <col min="6408" max="6408" width="5" style="38" bestFit="1" customWidth="1"/>
    <col min="6409" max="6412" width="4.625" style="38" bestFit="1" customWidth="1"/>
    <col min="6413" max="6413" width="4.75" style="38" bestFit="1" customWidth="1"/>
    <col min="6414" max="6419" width="4.625" style="38" bestFit="1" customWidth="1"/>
    <col min="6420" max="6420" width="4.5" style="38" bestFit="1" customWidth="1"/>
    <col min="6421" max="6421" width="4.375" style="38" customWidth="1"/>
    <col min="6422" max="6422" width="5.5" style="38" customWidth="1"/>
    <col min="6423" max="6656" width="9" style="38"/>
    <col min="6657" max="6657" width="2.5" style="38" customWidth="1"/>
    <col min="6658" max="6658" width="2.375" style="38" bestFit="1" customWidth="1"/>
    <col min="6659" max="6659" width="1.125" style="38" customWidth="1"/>
    <col min="6660" max="6660" width="5.625" style="38" customWidth="1"/>
    <col min="6661" max="6661" width="4.625" style="38" bestFit="1" customWidth="1"/>
    <col min="6662" max="6662" width="4.375" style="38" customWidth="1"/>
    <col min="6663" max="6663" width="4.625" style="38" bestFit="1" customWidth="1"/>
    <col min="6664" max="6664" width="5" style="38" bestFit="1" customWidth="1"/>
    <col min="6665" max="6668" width="4.625" style="38" bestFit="1" customWidth="1"/>
    <col min="6669" max="6669" width="4.75" style="38" bestFit="1" customWidth="1"/>
    <col min="6670" max="6675" width="4.625" style="38" bestFit="1" customWidth="1"/>
    <col min="6676" max="6676" width="4.5" style="38" bestFit="1" customWidth="1"/>
    <col min="6677" max="6677" width="4.375" style="38" customWidth="1"/>
    <col min="6678" max="6678" width="5.5" style="38" customWidth="1"/>
    <col min="6679" max="6912" width="9" style="38"/>
    <col min="6913" max="6913" width="2.5" style="38" customWidth="1"/>
    <col min="6914" max="6914" width="2.375" style="38" bestFit="1" customWidth="1"/>
    <col min="6915" max="6915" width="1.125" style="38" customWidth="1"/>
    <col min="6916" max="6916" width="5.625" style="38" customWidth="1"/>
    <col min="6917" max="6917" width="4.625" style="38" bestFit="1" customWidth="1"/>
    <col min="6918" max="6918" width="4.375" style="38" customWidth="1"/>
    <col min="6919" max="6919" width="4.625" style="38" bestFit="1" customWidth="1"/>
    <col min="6920" max="6920" width="5" style="38" bestFit="1" customWidth="1"/>
    <col min="6921" max="6924" width="4.625" style="38" bestFit="1" customWidth="1"/>
    <col min="6925" max="6925" width="4.75" style="38" bestFit="1" customWidth="1"/>
    <col min="6926" max="6931" width="4.625" style="38" bestFit="1" customWidth="1"/>
    <col min="6932" max="6932" width="4.5" style="38" bestFit="1" customWidth="1"/>
    <col min="6933" max="6933" width="4.375" style="38" customWidth="1"/>
    <col min="6934" max="6934" width="5.5" style="38" customWidth="1"/>
    <col min="6935" max="7168" width="9" style="38"/>
    <col min="7169" max="7169" width="2.5" style="38" customWidth="1"/>
    <col min="7170" max="7170" width="2.375" style="38" bestFit="1" customWidth="1"/>
    <col min="7171" max="7171" width="1.125" style="38" customWidth="1"/>
    <col min="7172" max="7172" width="5.625" style="38" customWidth="1"/>
    <col min="7173" max="7173" width="4.625" style="38" bestFit="1" customWidth="1"/>
    <col min="7174" max="7174" width="4.375" style="38" customWidth="1"/>
    <col min="7175" max="7175" width="4.625" style="38" bestFit="1" customWidth="1"/>
    <col min="7176" max="7176" width="5" style="38" bestFit="1" customWidth="1"/>
    <col min="7177" max="7180" width="4.625" style="38" bestFit="1" customWidth="1"/>
    <col min="7181" max="7181" width="4.75" style="38" bestFit="1" customWidth="1"/>
    <col min="7182" max="7187" width="4.625" style="38" bestFit="1" customWidth="1"/>
    <col min="7188" max="7188" width="4.5" style="38" bestFit="1" customWidth="1"/>
    <col min="7189" max="7189" width="4.375" style="38" customWidth="1"/>
    <col min="7190" max="7190" width="5.5" style="38" customWidth="1"/>
    <col min="7191" max="7424" width="9" style="38"/>
    <col min="7425" max="7425" width="2.5" style="38" customWidth="1"/>
    <col min="7426" max="7426" width="2.375" style="38" bestFit="1" customWidth="1"/>
    <col min="7427" max="7427" width="1.125" style="38" customWidth="1"/>
    <col min="7428" max="7428" width="5.625" style="38" customWidth="1"/>
    <col min="7429" max="7429" width="4.625" style="38" bestFit="1" customWidth="1"/>
    <col min="7430" max="7430" width="4.375" style="38" customWidth="1"/>
    <col min="7431" max="7431" width="4.625" style="38" bestFit="1" customWidth="1"/>
    <col min="7432" max="7432" width="5" style="38" bestFit="1" customWidth="1"/>
    <col min="7433" max="7436" width="4.625" style="38" bestFit="1" customWidth="1"/>
    <col min="7437" max="7437" width="4.75" style="38" bestFit="1" customWidth="1"/>
    <col min="7438" max="7443" width="4.625" style="38" bestFit="1" customWidth="1"/>
    <col min="7444" max="7444" width="4.5" style="38" bestFit="1" customWidth="1"/>
    <col min="7445" max="7445" width="4.375" style="38" customWidth="1"/>
    <col min="7446" max="7446" width="5.5" style="38" customWidth="1"/>
    <col min="7447" max="7680" width="9" style="38"/>
    <col min="7681" max="7681" width="2.5" style="38" customWidth="1"/>
    <col min="7682" max="7682" width="2.375" style="38" bestFit="1" customWidth="1"/>
    <col min="7683" max="7683" width="1.125" style="38" customWidth="1"/>
    <col min="7684" max="7684" width="5.625" style="38" customWidth="1"/>
    <col min="7685" max="7685" width="4.625" style="38" bestFit="1" customWidth="1"/>
    <col min="7686" max="7686" width="4.375" style="38" customWidth="1"/>
    <col min="7687" max="7687" width="4.625" style="38" bestFit="1" customWidth="1"/>
    <col min="7688" max="7688" width="5" style="38" bestFit="1" customWidth="1"/>
    <col min="7689" max="7692" width="4.625" style="38" bestFit="1" customWidth="1"/>
    <col min="7693" max="7693" width="4.75" style="38" bestFit="1" customWidth="1"/>
    <col min="7694" max="7699" width="4.625" style="38" bestFit="1" customWidth="1"/>
    <col min="7700" max="7700" width="4.5" style="38" bestFit="1" customWidth="1"/>
    <col min="7701" max="7701" width="4.375" style="38" customWidth="1"/>
    <col min="7702" max="7702" width="5.5" style="38" customWidth="1"/>
    <col min="7703" max="7936" width="9" style="38"/>
    <col min="7937" max="7937" width="2.5" style="38" customWidth="1"/>
    <col min="7938" max="7938" width="2.375" style="38" bestFit="1" customWidth="1"/>
    <col min="7939" max="7939" width="1.125" style="38" customWidth="1"/>
    <col min="7940" max="7940" width="5.625" style="38" customWidth="1"/>
    <col min="7941" max="7941" width="4.625" style="38" bestFit="1" customWidth="1"/>
    <col min="7942" max="7942" width="4.375" style="38" customWidth="1"/>
    <col min="7943" max="7943" width="4.625" style="38" bestFit="1" customWidth="1"/>
    <col min="7944" max="7944" width="5" style="38" bestFit="1" customWidth="1"/>
    <col min="7945" max="7948" width="4.625" style="38" bestFit="1" customWidth="1"/>
    <col min="7949" max="7949" width="4.75" style="38" bestFit="1" customWidth="1"/>
    <col min="7950" max="7955" width="4.625" style="38" bestFit="1" customWidth="1"/>
    <col min="7956" max="7956" width="4.5" style="38" bestFit="1" customWidth="1"/>
    <col min="7957" max="7957" width="4.375" style="38" customWidth="1"/>
    <col min="7958" max="7958" width="5.5" style="38" customWidth="1"/>
    <col min="7959" max="8192" width="9" style="38"/>
    <col min="8193" max="8193" width="2.5" style="38" customWidth="1"/>
    <col min="8194" max="8194" width="2.375" style="38" bestFit="1" customWidth="1"/>
    <col min="8195" max="8195" width="1.125" style="38" customWidth="1"/>
    <col min="8196" max="8196" width="5.625" style="38" customWidth="1"/>
    <col min="8197" max="8197" width="4.625" style="38" bestFit="1" customWidth="1"/>
    <col min="8198" max="8198" width="4.375" style="38" customWidth="1"/>
    <col min="8199" max="8199" width="4.625" style="38" bestFit="1" customWidth="1"/>
    <col min="8200" max="8200" width="5" style="38" bestFit="1" customWidth="1"/>
    <col min="8201" max="8204" width="4.625" style="38" bestFit="1" customWidth="1"/>
    <col min="8205" max="8205" width="4.75" style="38" bestFit="1" customWidth="1"/>
    <col min="8206" max="8211" width="4.625" style="38" bestFit="1" customWidth="1"/>
    <col min="8212" max="8212" width="4.5" style="38" bestFit="1" customWidth="1"/>
    <col min="8213" max="8213" width="4.375" style="38" customWidth="1"/>
    <col min="8214" max="8214" width="5.5" style="38" customWidth="1"/>
    <col min="8215" max="8448" width="9" style="38"/>
    <col min="8449" max="8449" width="2.5" style="38" customWidth="1"/>
    <col min="8450" max="8450" width="2.375" style="38" bestFit="1" customWidth="1"/>
    <col min="8451" max="8451" width="1.125" style="38" customWidth="1"/>
    <col min="8452" max="8452" width="5.625" style="38" customWidth="1"/>
    <col min="8453" max="8453" width="4.625" style="38" bestFit="1" customWidth="1"/>
    <col min="8454" max="8454" width="4.375" style="38" customWidth="1"/>
    <col min="8455" max="8455" width="4.625" style="38" bestFit="1" customWidth="1"/>
    <col min="8456" max="8456" width="5" style="38" bestFit="1" customWidth="1"/>
    <col min="8457" max="8460" width="4.625" style="38" bestFit="1" customWidth="1"/>
    <col min="8461" max="8461" width="4.75" style="38" bestFit="1" customWidth="1"/>
    <col min="8462" max="8467" width="4.625" style="38" bestFit="1" customWidth="1"/>
    <col min="8468" max="8468" width="4.5" style="38" bestFit="1" customWidth="1"/>
    <col min="8469" max="8469" width="4.375" style="38" customWidth="1"/>
    <col min="8470" max="8470" width="5.5" style="38" customWidth="1"/>
    <col min="8471" max="8704" width="9" style="38"/>
    <col min="8705" max="8705" width="2.5" style="38" customWidth="1"/>
    <col min="8706" max="8706" width="2.375" style="38" bestFit="1" customWidth="1"/>
    <col min="8707" max="8707" width="1.125" style="38" customWidth="1"/>
    <col min="8708" max="8708" width="5.625" style="38" customWidth="1"/>
    <col min="8709" max="8709" width="4.625" style="38" bestFit="1" customWidth="1"/>
    <col min="8710" max="8710" width="4.375" style="38" customWidth="1"/>
    <col min="8711" max="8711" width="4.625" style="38" bestFit="1" customWidth="1"/>
    <col min="8712" max="8712" width="5" style="38" bestFit="1" customWidth="1"/>
    <col min="8713" max="8716" width="4.625" style="38" bestFit="1" customWidth="1"/>
    <col min="8717" max="8717" width="4.75" style="38" bestFit="1" customWidth="1"/>
    <col min="8718" max="8723" width="4.625" style="38" bestFit="1" customWidth="1"/>
    <col min="8724" max="8724" width="4.5" style="38" bestFit="1" customWidth="1"/>
    <col min="8725" max="8725" width="4.375" style="38" customWidth="1"/>
    <col min="8726" max="8726" width="5.5" style="38" customWidth="1"/>
    <col min="8727" max="8960" width="9" style="38"/>
    <col min="8961" max="8961" width="2.5" style="38" customWidth="1"/>
    <col min="8962" max="8962" width="2.375" style="38" bestFit="1" customWidth="1"/>
    <col min="8963" max="8963" width="1.125" style="38" customWidth="1"/>
    <col min="8964" max="8964" width="5.625" style="38" customWidth="1"/>
    <col min="8965" max="8965" width="4.625" style="38" bestFit="1" customWidth="1"/>
    <col min="8966" max="8966" width="4.375" style="38" customWidth="1"/>
    <col min="8967" max="8967" width="4.625" style="38" bestFit="1" customWidth="1"/>
    <col min="8968" max="8968" width="5" style="38" bestFit="1" customWidth="1"/>
    <col min="8969" max="8972" width="4.625" style="38" bestFit="1" customWidth="1"/>
    <col min="8973" max="8973" width="4.75" style="38" bestFit="1" customWidth="1"/>
    <col min="8974" max="8979" width="4.625" style="38" bestFit="1" customWidth="1"/>
    <col min="8980" max="8980" width="4.5" style="38" bestFit="1" customWidth="1"/>
    <col min="8981" max="8981" width="4.375" style="38" customWidth="1"/>
    <col min="8982" max="8982" width="5.5" style="38" customWidth="1"/>
    <col min="8983" max="9216" width="9" style="38"/>
    <col min="9217" max="9217" width="2.5" style="38" customWidth="1"/>
    <col min="9218" max="9218" width="2.375" style="38" bestFit="1" customWidth="1"/>
    <col min="9219" max="9219" width="1.125" style="38" customWidth="1"/>
    <col min="9220" max="9220" width="5.625" style="38" customWidth="1"/>
    <col min="9221" max="9221" width="4.625" style="38" bestFit="1" customWidth="1"/>
    <col min="9222" max="9222" width="4.375" style="38" customWidth="1"/>
    <col min="9223" max="9223" width="4.625" style="38" bestFit="1" customWidth="1"/>
    <col min="9224" max="9224" width="5" style="38" bestFit="1" customWidth="1"/>
    <col min="9225" max="9228" width="4.625" style="38" bestFit="1" customWidth="1"/>
    <col min="9229" max="9229" width="4.75" style="38" bestFit="1" customWidth="1"/>
    <col min="9230" max="9235" width="4.625" style="38" bestFit="1" customWidth="1"/>
    <col min="9236" max="9236" width="4.5" style="38" bestFit="1" customWidth="1"/>
    <col min="9237" max="9237" width="4.375" style="38" customWidth="1"/>
    <col min="9238" max="9238" width="5.5" style="38" customWidth="1"/>
    <col min="9239" max="9472" width="9" style="38"/>
    <col min="9473" max="9473" width="2.5" style="38" customWidth="1"/>
    <col min="9474" max="9474" width="2.375" style="38" bestFit="1" customWidth="1"/>
    <col min="9475" max="9475" width="1.125" style="38" customWidth="1"/>
    <col min="9476" max="9476" width="5.625" style="38" customWidth="1"/>
    <col min="9477" max="9477" width="4.625" style="38" bestFit="1" customWidth="1"/>
    <col min="9478" max="9478" width="4.375" style="38" customWidth="1"/>
    <col min="9479" max="9479" width="4.625" style="38" bestFit="1" customWidth="1"/>
    <col min="9480" max="9480" width="5" style="38" bestFit="1" customWidth="1"/>
    <col min="9481" max="9484" width="4.625" style="38" bestFit="1" customWidth="1"/>
    <col min="9485" max="9485" width="4.75" style="38" bestFit="1" customWidth="1"/>
    <col min="9486" max="9491" width="4.625" style="38" bestFit="1" customWidth="1"/>
    <col min="9492" max="9492" width="4.5" style="38" bestFit="1" customWidth="1"/>
    <col min="9493" max="9493" width="4.375" style="38" customWidth="1"/>
    <col min="9494" max="9494" width="5.5" style="38" customWidth="1"/>
    <col min="9495" max="9728" width="9" style="38"/>
    <col min="9729" max="9729" width="2.5" style="38" customWidth="1"/>
    <col min="9730" max="9730" width="2.375" style="38" bestFit="1" customWidth="1"/>
    <col min="9731" max="9731" width="1.125" style="38" customWidth="1"/>
    <col min="9732" max="9732" width="5.625" style="38" customWidth="1"/>
    <col min="9733" max="9733" width="4.625" style="38" bestFit="1" customWidth="1"/>
    <col min="9734" max="9734" width="4.375" style="38" customWidth="1"/>
    <col min="9735" max="9735" width="4.625" style="38" bestFit="1" customWidth="1"/>
    <col min="9736" max="9736" width="5" style="38" bestFit="1" customWidth="1"/>
    <col min="9737" max="9740" width="4.625" style="38" bestFit="1" customWidth="1"/>
    <col min="9741" max="9741" width="4.75" style="38" bestFit="1" customWidth="1"/>
    <col min="9742" max="9747" width="4.625" style="38" bestFit="1" customWidth="1"/>
    <col min="9748" max="9748" width="4.5" style="38" bestFit="1" customWidth="1"/>
    <col min="9749" max="9749" width="4.375" style="38" customWidth="1"/>
    <col min="9750" max="9750" width="5.5" style="38" customWidth="1"/>
    <col min="9751" max="9984" width="9" style="38"/>
    <col min="9985" max="9985" width="2.5" style="38" customWidth="1"/>
    <col min="9986" max="9986" width="2.375" style="38" bestFit="1" customWidth="1"/>
    <col min="9987" max="9987" width="1.125" style="38" customWidth="1"/>
    <col min="9988" max="9988" width="5.625" style="38" customWidth="1"/>
    <col min="9989" max="9989" width="4.625" style="38" bestFit="1" customWidth="1"/>
    <col min="9990" max="9990" width="4.375" style="38" customWidth="1"/>
    <col min="9991" max="9991" width="4.625" style="38" bestFit="1" customWidth="1"/>
    <col min="9992" max="9992" width="5" style="38" bestFit="1" customWidth="1"/>
    <col min="9993" max="9996" width="4.625" style="38" bestFit="1" customWidth="1"/>
    <col min="9997" max="9997" width="4.75" style="38" bestFit="1" customWidth="1"/>
    <col min="9998" max="10003" width="4.625" style="38" bestFit="1" customWidth="1"/>
    <col min="10004" max="10004" width="4.5" style="38" bestFit="1" customWidth="1"/>
    <col min="10005" max="10005" width="4.375" style="38" customWidth="1"/>
    <col min="10006" max="10006" width="5.5" style="38" customWidth="1"/>
    <col min="10007" max="10240" width="9" style="38"/>
    <col min="10241" max="10241" width="2.5" style="38" customWidth="1"/>
    <col min="10242" max="10242" width="2.375" style="38" bestFit="1" customWidth="1"/>
    <col min="10243" max="10243" width="1.125" style="38" customWidth="1"/>
    <col min="10244" max="10244" width="5.625" style="38" customWidth="1"/>
    <col min="10245" max="10245" width="4.625" style="38" bestFit="1" customWidth="1"/>
    <col min="10246" max="10246" width="4.375" style="38" customWidth="1"/>
    <col min="10247" max="10247" width="4.625" style="38" bestFit="1" customWidth="1"/>
    <col min="10248" max="10248" width="5" style="38" bestFit="1" customWidth="1"/>
    <col min="10249" max="10252" width="4.625" style="38" bestFit="1" customWidth="1"/>
    <col min="10253" max="10253" width="4.75" style="38" bestFit="1" customWidth="1"/>
    <col min="10254" max="10259" width="4.625" style="38" bestFit="1" customWidth="1"/>
    <col min="10260" max="10260" width="4.5" style="38" bestFit="1" customWidth="1"/>
    <col min="10261" max="10261" width="4.375" style="38" customWidth="1"/>
    <col min="10262" max="10262" width="5.5" style="38" customWidth="1"/>
    <col min="10263" max="10496" width="9" style="38"/>
    <col min="10497" max="10497" width="2.5" style="38" customWidth="1"/>
    <col min="10498" max="10498" width="2.375" style="38" bestFit="1" customWidth="1"/>
    <col min="10499" max="10499" width="1.125" style="38" customWidth="1"/>
    <col min="10500" max="10500" width="5.625" style="38" customWidth="1"/>
    <col min="10501" max="10501" width="4.625" style="38" bestFit="1" customWidth="1"/>
    <col min="10502" max="10502" width="4.375" style="38" customWidth="1"/>
    <col min="10503" max="10503" width="4.625" style="38" bestFit="1" customWidth="1"/>
    <col min="10504" max="10504" width="5" style="38" bestFit="1" customWidth="1"/>
    <col min="10505" max="10508" width="4.625" style="38" bestFit="1" customWidth="1"/>
    <col min="10509" max="10509" width="4.75" style="38" bestFit="1" customWidth="1"/>
    <col min="10510" max="10515" width="4.625" style="38" bestFit="1" customWidth="1"/>
    <col min="10516" max="10516" width="4.5" style="38" bestFit="1" customWidth="1"/>
    <col min="10517" max="10517" width="4.375" style="38" customWidth="1"/>
    <col min="10518" max="10518" width="5.5" style="38" customWidth="1"/>
    <col min="10519" max="10752" width="9" style="38"/>
    <col min="10753" max="10753" width="2.5" style="38" customWidth="1"/>
    <col min="10754" max="10754" width="2.375" style="38" bestFit="1" customWidth="1"/>
    <col min="10755" max="10755" width="1.125" style="38" customWidth="1"/>
    <col min="10756" max="10756" width="5.625" style="38" customWidth="1"/>
    <col min="10757" max="10757" width="4.625" style="38" bestFit="1" customWidth="1"/>
    <col min="10758" max="10758" width="4.375" style="38" customWidth="1"/>
    <col min="10759" max="10759" width="4.625" style="38" bestFit="1" customWidth="1"/>
    <col min="10760" max="10760" width="5" style="38" bestFit="1" customWidth="1"/>
    <col min="10761" max="10764" width="4.625" style="38" bestFit="1" customWidth="1"/>
    <col min="10765" max="10765" width="4.75" style="38" bestFit="1" customWidth="1"/>
    <col min="10766" max="10771" width="4.625" style="38" bestFit="1" customWidth="1"/>
    <col min="10772" max="10772" width="4.5" style="38" bestFit="1" customWidth="1"/>
    <col min="10773" max="10773" width="4.375" style="38" customWidth="1"/>
    <col min="10774" max="10774" width="5.5" style="38" customWidth="1"/>
    <col min="10775" max="11008" width="9" style="38"/>
    <col min="11009" max="11009" width="2.5" style="38" customWidth="1"/>
    <col min="11010" max="11010" width="2.375" style="38" bestFit="1" customWidth="1"/>
    <col min="11011" max="11011" width="1.125" style="38" customWidth="1"/>
    <col min="11012" max="11012" width="5.625" style="38" customWidth="1"/>
    <col min="11013" max="11013" width="4.625" style="38" bestFit="1" customWidth="1"/>
    <col min="11014" max="11014" width="4.375" style="38" customWidth="1"/>
    <col min="11015" max="11015" width="4.625" style="38" bestFit="1" customWidth="1"/>
    <col min="11016" max="11016" width="5" style="38" bestFit="1" customWidth="1"/>
    <col min="11017" max="11020" width="4.625" style="38" bestFit="1" customWidth="1"/>
    <col min="11021" max="11021" width="4.75" style="38" bestFit="1" customWidth="1"/>
    <col min="11022" max="11027" width="4.625" style="38" bestFit="1" customWidth="1"/>
    <col min="11028" max="11028" width="4.5" style="38" bestFit="1" customWidth="1"/>
    <col min="11029" max="11029" width="4.375" style="38" customWidth="1"/>
    <col min="11030" max="11030" width="5.5" style="38" customWidth="1"/>
    <col min="11031" max="11264" width="9" style="38"/>
    <col min="11265" max="11265" width="2.5" style="38" customWidth="1"/>
    <col min="11266" max="11266" width="2.375" style="38" bestFit="1" customWidth="1"/>
    <col min="11267" max="11267" width="1.125" style="38" customWidth="1"/>
    <col min="11268" max="11268" width="5.625" style="38" customWidth="1"/>
    <col min="11269" max="11269" width="4.625" style="38" bestFit="1" customWidth="1"/>
    <col min="11270" max="11270" width="4.375" style="38" customWidth="1"/>
    <col min="11271" max="11271" width="4.625" style="38" bestFit="1" customWidth="1"/>
    <col min="11272" max="11272" width="5" style="38" bestFit="1" customWidth="1"/>
    <col min="11273" max="11276" width="4.625" style="38" bestFit="1" customWidth="1"/>
    <col min="11277" max="11277" width="4.75" style="38" bestFit="1" customWidth="1"/>
    <col min="11278" max="11283" width="4.625" style="38" bestFit="1" customWidth="1"/>
    <col min="11284" max="11284" width="4.5" style="38" bestFit="1" customWidth="1"/>
    <col min="11285" max="11285" width="4.375" style="38" customWidth="1"/>
    <col min="11286" max="11286" width="5.5" style="38" customWidth="1"/>
    <col min="11287" max="11520" width="9" style="38"/>
    <col min="11521" max="11521" width="2.5" style="38" customWidth="1"/>
    <col min="11522" max="11522" width="2.375" style="38" bestFit="1" customWidth="1"/>
    <col min="11523" max="11523" width="1.125" style="38" customWidth="1"/>
    <col min="11524" max="11524" width="5.625" style="38" customWidth="1"/>
    <col min="11525" max="11525" width="4.625" style="38" bestFit="1" customWidth="1"/>
    <col min="11526" max="11526" width="4.375" style="38" customWidth="1"/>
    <col min="11527" max="11527" width="4.625" style="38" bestFit="1" customWidth="1"/>
    <col min="11528" max="11528" width="5" style="38" bestFit="1" customWidth="1"/>
    <col min="11529" max="11532" width="4.625" style="38" bestFit="1" customWidth="1"/>
    <col min="11533" max="11533" width="4.75" style="38" bestFit="1" customWidth="1"/>
    <col min="11534" max="11539" width="4.625" style="38" bestFit="1" customWidth="1"/>
    <col min="11540" max="11540" width="4.5" style="38" bestFit="1" customWidth="1"/>
    <col min="11541" max="11541" width="4.375" style="38" customWidth="1"/>
    <col min="11542" max="11542" width="5.5" style="38" customWidth="1"/>
    <col min="11543" max="11776" width="9" style="38"/>
    <col min="11777" max="11777" width="2.5" style="38" customWidth="1"/>
    <col min="11778" max="11778" width="2.375" style="38" bestFit="1" customWidth="1"/>
    <col min="11779" max="11779" width="1.125" style="38" customWidth="1"/>
    <col min="11780" max="11780" width="5.625" style="38" customWidth="1"/>
    <col min="11781" max="11781" width="4.625" style="38" bestFit="1" customWidth="1"/>
    <col min="11782" max="11782" width="4.375" style="38" customWidth="1"/>
    <col min="11783" max="11783" width="4.625" style="38" bestFit="1" customWidth="1"/>
    <col min="11784" max="11784" width="5" style="38" bestFit="1" customWidth="1"/>
    <col min="11785" max="11788" width="4.625" style="38" bestFit="1" customWidth="1"/>
    <col min="11789" max="11789" width="4.75" style="38" bestFit="1" customWidth="1"/>
    <col min="11790" max="11795" width="4.625" style="38" bestFit="1" customWidth="1"/>
    <col min="11796" max="11796" width="4.5" style="38" bestFit="1" customWidth="1"/>
    <col min="11797" max="11797" width="4.375" style="38" customWidth="1"/>
    <col min="11798" max="11798" width="5.5" style="38" customWidth="1"/>
    <col min="11799" max="12032" width="9" style="38"/>
    <col min="12033" max="12033" width="2.5" style="38" customWidth="1"/>
    <col min="12034" max="12034" width="2.375" style="38" bestFit="1" customWidth="1"/>
    <col min="12035" max="12035" width="1.125" style="38" customWidth="1"/>
    <col min="12036" max="12036" width="5.625" style="38" customWidth="1"/>
    <col min="12037" max="12037" width="4.625" style="38" bestFit="1" customWidth="1"/>
    <col min="12038" max="12038" width="4.375" style="38" customWidth="1"/>
    <col min="12039" max="12039" width="4.625" style="38" bestFit="1" customWidth="1"/>
    <col min="12040" max="12040" width="5" style="38" bestFit="1" customWidth="1"/>
    <col min="12041" max="12044" width="4.625" style="38" bestFit="1" customWidth="1"/>
    <col min="12045" max="12045" width="4.75" style="38" bestFit="1" customWidth="1"/>
    <col min="12046" max="12051" width="4.625" style="38" bestFit="1" customWidth="1"/>
    <col min="12052" max="12052" width="4.5" style="38" bestFit="1" customWidth="1"/>
    <col min="12053" max="12053" width="4.375" style="38" customWidth="1"/>
    <col min="12054" max="12054" width="5.5" style="38" customWidth="1"/>
    <col min="12055" max="12288" width="9" style="38"/>
    <col min="12289" max="12289" width="2.5" style="38" customWidth="1"/>
    <col min="12290" max="12290" width="2.375" style="38" bestFit="1" customWidth="1"/>
    <col min="12291" max="12291" width="1.125" style="38" customWidth="1"/>
    <col min="12292" max="12292" width="5.625" style="38" customWidth="1"/>
    <col min="12293" max="12293" width="4.625" style="38" bestFit="1" customWidth="1"/>
    <col min="12294" max="12294" width="4.375" style="38" customWidth="1"/>
    <col min="12295" max="12295" width="4.625" style="38" bestFit="1" customWidth="1"/>
    <col min="12296" max="12296" width="5" style="38" bestFit="1" customWidth="1"/>
    <col min="12297" max="12300" width="4.625" style="38" bestFit="1" customWidth="1"/>
    <col min="12301" max="12301" width="4.75" style="38" bestFit="1" customWidth="1"/>
    <col min="12302" max="12307" width="4.625" style="38" bestFit="1" customWidth="1"/>
    <col min="12308" max="12308" width="4.5" style="38" bestFit="1" customWidth="1"/>
    <col min="12309" max="12309" width="4.375" style="38" customWidth="1"/>
    <col min="12310" max="12310" width="5.5" style="38" customWidth="1"/>
    <col min="12311" max="12544" width="9" style="38"/>
    <col min="12545" max="12545" width="2.5" style="38" customWidth="1"/>
    <col min="12546" max="12546" width="2.375" style="38" bestFit="1" customWidth="1"/>
    <col min="12547" max="12547" width="1.125" style="38" customWidth="1"/>
    <col min="12548" max="12548" width="5.625" style="38" customWidth="1"/>
    <col min="12549" max="12549" width="4.625" style="38" bestFit="1" customWidth="1"/>
    <col min="12550" max="12550" width="4.375" style="38" customWidth="1"/>
    <col min="12551" max="12551" width="4.625" style="38" bestFit="1" customWidth="1"/>
    <col min="12552" max="12552" width="5" style="38" bestFit="1" customWidth="1"/>
    <col min="12553" max="12556" width="4.625" style="38" bestFit="1" customWidth="1"/>
    <col min="12557" max="12557" width="4.75" style="38" bestFit="1" customWidth="1"/>
    <col min="12558" max="12563" width="4.625" style="38" bestFit="1" customWidth="1"/>
    <col min="12564" max="12564" width="4.5" style="38" bestFit="1" customWidth="1"/>
    <col min="12565" max="12565" width="4.375" style="38" customWidth="1"/>
    <col min="12566" max="12566" width="5.5" style="38" customWidth="1"/>
    <col min="12567" max="12800" width="9" style="38"/>
    <col min="12801" max="12801" width="2.5" style="38" customWidth="1"/>
    <col min="12802" max="12802" width="2.375" style="38" bestFit="1" customWidth="1"/>
    <col min="12803" max="12803" width="1.125" style="38" customWidth="1"/>
    <col min="12804" max="12804" width="5.625" style="38" customWidth="1"/>
    <col min="12805" max="12805" width="4.625" style="38" bestFit="1" customWidth="1"/>
    <col min="12806" max="12806" width="4.375" style="38" customWidth="1"/>
    <col min="12807" max="12807" width="4.625" style="38" bestFit="1" customWidth="1"/>
    <col min="12808" max="12808" width="5" style="38" bestFit="1" customWidth="1"/>
    <col min="12809" max="12812" width="4.625" style="38" bestFit="1" customWidth="1"/>
    <col min="12813" max="12813" width="4.75" style="38" bestFit="1" customWidth="1"/>
    <col min="12814" max="12819" width="4.625" style="38" bestFit="1" customWidth="1"/>
    <col min="12820" max="12820" width="4.5" style="38" bestFit="1" customWidth="1"/>
    <col min="12821" max="12821" width="4.375" style="38" customWidth="1"/>
    <col min="12822" max="12822" width="5.5" style="38" customWidth="1"/>
    <col min="12823" max="13056" width="9" style="38"/>
    <col min="13057" max="13057" width="2.5" style="38" customWidth="1"/>
    <col min="13058" max="13058" width="2.375" style="38" bestFit="1" customWidth="1"/>
    <col min="13059" max="13059" width="1.125" style="38" customWidth="1"/>
    <col min="13060" max="13060" width="5.625" style="38" customWidth="1"/>
    <col min="13061" max="13061" width="4.625" style="38" bestFit="1" customWidth="1"/>
    <col min="13062" max="13062" width="4.375" style="38" customWidth="1"/>
    <col min="13063" max="13063" width="4.625" style="38" bestFit="1" customWidth="1"/>
    <col min="13064" max="13064" width="5" style="38" bestFit="1" customWidth="1"/>
    <col min="13065" max="13068" width="4.625" style="38" bestFit="1" customWidth="1"/>
    <col min="13069" max="13069" width="4.75" style="38" bestFit="1" customWidth="1"/>
    <col min="13070" max="13075" width="4.625" style="38" bestFit="1" customWidth="1"/>
    <col min="13076" max="13076" width="4.5" style="38" bestFit="1" customWidth="1"/>
    <col min="13077" max="13077" width="4.375" style="38" customWidth="1"/>
    <col min="13078" max="13078" width="5.5" style="38" customWidth="1"/>
    <col min="13079" max="13312" width="9" style="38"/>
    <col min="13313" max="13313" width="2.5" style="38" customWidth="1"/>
    <col min="13314" max="13314" width="2.375" style="38" bestFit="1" customWidth="1"/>
    <col min="13315" max="13315" width="1.125" style="38" customWidth="1"/>
    <col min="13316" max="13316" width="5.625" style="38" customWidth="1"/>
    <col min="13317" max="13317" width="4.625" style="38" bestFit="1" customWidth="1"/>
    <col min="13318" max="13318" width="4.375" style="38" customWidth="1"/>
    <col min="13319" max="13319" width="4.625" style="38" bestFit="1" customWidth="1"/>
    <col min="13320" max="13320" width="5" style="38" bestFit="1" customWidth="1"/>
    <col min="13321" max="13324" width="4.625" style="38" bestFit="1" customWidth="1"/>
    <col min="13325" max="13325" width="4.75" style="38" bestFit="1" customWidth="1"/>
    <col min="13326" max="13331" width="4.625" style="38" bestFit="1" customWidth="1"/>
    <col min="13332" max="13332" width="4.5" style="38" bestFit="1" customWidth="1"/>
    <col min="13333" max="13333" width="4.375" style="38" customWidth="1"/>
    <col min="13334" max="13334" width="5.5" style="38" customWidth="1"/>
    <col min="13335" max="13568" width="9" style="38"/>
    <col min="13569" max="13569" width="2.5" style="38" customWidth="1"/>
    <col min="13570" max="13570" width="2.375" style="38" bestFit="1" customWidth="1"/>
    <col min="13571" max="13571" width="1.125" style="38" customWidth="1"/>
    <col min="13572" max="13572" width="5.625" style="38" customWidth="1"/>
    <col min="13573" max="13573" width="4.625" style="38" bestFit="1" customWidth="1"/>
    <col min="13574" max="13574" width="4.375" style="38" customWidth="1"/>
    <col min="13575" max="13575" width="4.625" style="38" bestFit="1" customWidth="1"/>
    <col min="13576" max="13576" width="5" style="38" bestFit="1" customWidth="1"/>
    <col min="13577" max="13580" width="4.625" style="38" bestFit="1" customWidth="1"/>
    <col min="13581" max="13581" width="4.75" style="38" bestFit="1" customWidth="1"/>
    <col min="13582" max="13587" width="4.625" style="38" bestFit="1" customWidth="1"/>
    <col min="13588" max="13588" width="4.5" style="38" bestFit="1" customWidth="1"/>
    <col min="13589" max="13589" width="4.375" style="38" customWidth="1"/>
    <col min="13590" max="13590" width="5.5" style="38" customWidth="1"/>
    <col min="13591" max="13824" width="9" style="38"/>
    <col min="13825" max="13825" width="2.5" style="38" customWidth="1"/>
    <col min="13826" max="13826" width="2.375" style="38" bestFit="1" customWidth="1"/>
    <col min="13827" max="13827" width="1.125" style="38" customWidth="1"/>
    <col min="13828" max="13828" width="5.625" style="38" customWidth="1"/>
    <col min="13829" max="13829" width="4.625" style="38" bestFit="1" customWidth="1"/>
    <col min="13830" max="13830" width="4.375" style="38" customWidth="1"/>
    <col min="13831" max="13831" width="4.625" style="38" bestFit="1" customWidth="1"/>
    <col min="13832" max="13832" width="5" style="38" bestFit="1" customWidth="1"/>
    <col min="13833" max="13836" width="4.625" style="38" bestFit="1" customWidth="1"/>
    <col min="13837" max="13837" width="4.75" style="38" bestFit="1" customWidth="1"/>
    <col min="13838" max="13843" width="4.625" style="38" bestFit="1" customWidth="1"/>
    <col min="13844" max="13844" width="4.5" style="38" bestFit="1" customWidth="1"/>
    <col min="13845" max="13845" width="4.375" style="38" customWidth="1"/>
    <col min="13846" max="13846" width="5.5" style="38" customWidth="1"/>
    <col min="13847" max="14080" width="9" style="38"/>
    <col min="14081" max="14081" width="2.5" style="38" customWidth="1"/>
    <col min="14082" max="14082" width="2.375" style="38" bestFit="1" customWidth="1"/>
    <col min="14083" max="14083" width="1.125" style="38" customWidth="1"/>
    <col min="14084" max="14084" width="5.625" style="38" customWidth="1"/>
    <col min="14085" max="14085" width="4.625" style="38" bestFit="1" customWidth="1"/>
    <col min="14086" max="14086" width="4.375" style="38" customWidth="1"/>
    <col min="14087" max="14087" width="4.625" style="38" bestFit="1" customWidth="1"/>
    <col min="14088" max="14088" width="5" style="38" bestFit="1" customWidth="1"/>
    <col min="14089" max="14092" width="4.625" style="38" bestFit="1" customWidth="1"/>
    <col min="14093" max="14093" width="4.75" style="38" bestFit="1" customWidth="1"/>
    <col min="14094" max="14099" width="4.625" style="38" bestFit="1" customWidth="1"/>
    <col min="14100" max="14100" width="4.5" style="38" bestFit="1" customWidth="1"/>
    <col min="14101" max="14101" width="4.375" style="38" customWidth="1"/>
    <col min="14102" max="14102" width="5.5" style="38" customWidth="1"/>
    <col min="14103" max="14336" width="9" style="38"/>
    <col min="14337" max="14337" width="2.5" style="38" customWidth="1"/>
    <col min="14338" max="14338" width="2.375" style="38" bestFit="1" customWidth="1"/>
    <col min="14339" max="14339" width="1.125" style="38" customWidth="1"/>
    <col min="14340" max="14340" width="5.625" style="38" customWidth="1"/>
    <col min="14341" max="14341" width="4.625" style="38" bestFit="1" customWidth="1"/>
    <col min="14342" max="14342" width="4.375" style="38" customWidth="1"/>
    <col min="14343" max="14343" width="4.625" style="38" bestFit="1" customWidth="1"/>
    <col min="14344" max="14344" width="5" style="38" bestFit="1" customWidth="1"/>
    <col min="14345" max="14348" width="4.625" style="38" bestFit="1" customWidth="1"/>
    <col min="14349" max="14349" width="4.75" style="38" bestFit="1" customWidth="1"/>
    <col min="14350" max="14355" width="4.625" style="38" bestFit="1" customWidth="1"/>
    <col min="14356" max="14356" width="4.5" style="38" bestFit="1" customWidth="1"/>
    <col min="14357" max="14357" width="4.375" style="38" customWidth="1"/>
    <col min="14358" max="14358" width="5.5" style="38" customWidth="1"/>
    <col min="14359" max="14592" width="9" style="38"/>
    <col min="14593" max="14593" width="2.5" style="38" customWidth="1"/>
    <col min="14594" max="14594" width="2.375" style="38" bestFit="1" customWidth="1"/>
    <col min="14595" max="14595" width="1.125" style="38" customWidth="1"/>
    <col min="14596" max="14596" width="5.625" style="38" customWidth="1"/>
    <col min="14597" max="14597" width="4.625" style="38" bestFit="1" customWidth="1"/>
    <col min="14598" max="14598" width="4.375" style="38" customWidth="1"/>
    <col min="14599" max="14599" width="4.625" style="38" bestFit="1" customWidth="1"/>
    <col min="14600" max="14600" width="5" style="38" bestFit="1" customWidth="1"/>
    <col min="14601" max="14604" width="4.625" style="38" bestFit="1" customWidth="1"/>
    <col min="14605" max="14605" width="4.75" style="38" bestFit="1" customWidth="1"/>
    <col min="14606" max="14611" width="4.625" style="38" bestFit="1" customWidth="1"/>
    <col min="14612" max="14612" width="4.5" style="38" bestFit="1" customWidth="1"/>
    <col min="14613" max="14613" width="4.375" style="38" customWidth="1"/>
    <col min="14614" max="14614" width="5.5" style="38" customWidth="1"/>
    <col min="14615" max="14848" width="9" style="38"/>
    <col min="14849" max="14849" width="2.5" style="38" customWidth="1"/>
    <col min="14850" max="14850" width="2.375" style="38" bestFit="1" customWidth="1"/>
    <col min="14851" max="14851" width="1.125" style="38" customWidth="1"/>
    <col min="14852" max="14852" width="5.625" style="38" customWidth="1"/>
    <col min="14853" max="14853" width="4.625" style="38" bestFit="1" customWidth="1"/>
    <col min="14854" max="14854" width="4.375" style="38" customWidth="1"/>
    <col min="14855" max="14855" width="4.625" style="38" bestFit="1" customWidth="1"/>
    <col min="14856" max="14856" width="5" style="38" bestFit="1" customWidth="1"/>
    <col min="14857" max="14860" width="4.625" style="38" bestFit="1" customWidth="1"/>
    <col min="14861" max="14861" width="4.75" style="38" bestFit="1" customWidth="1"/>
    <col min="14862" max="14867" width="4.625" style="38" bestFit="1" customWidth="1"/>
    <col min="14868" max="14868" width="4.5" style="38" bestFit="1" customWidth="1"/>
    <col min="14869" max="14869" width="4.375" style="38" customWidth="1"/>
    <col min="14870" max="14870" width="5.5" style="38" customWidth="1"/>
    <col min="14871" max="15104" width="9" style="38"/>
    <col min="15105" max="15105" width="2.5" style="38" customWidth="1"/>
    <col min="15106" max="15106" width="2.375" style="38" bestFit="1" customWidth="1"/>
    <col min="15107" max="15107" width="1.125" style="38" customWidth="1"/>
    <col min="15108" max="15108" width="5.625" style="38" customWidth="1"/>
    <col min="15109" max="15109" width="4.625" style="38" bestFit="1" customWidth="1"/>
    <col min="15110" max="15110" width="4.375" style="38" customWidth="1"/>
    <col min="15111" max="15111" width="4.625" style="38" bestFit="1" customWidth="1"/>
    <col min="15112" max="15112" width="5" style="38" bestFit="1" customWidth="1"/>
    <col min="15113" max="15116" width="4.625" style="38" bestFit="1" customWidth="1"/>
    <col min="15117" max="15117" width="4.75" style="38" bestFit="1" customWidth="1"/>
    <col min="15118" max="15123" width="4.625" style="38" bestFit="1" customWidth="1"/>
    <col min="15124" max="15124" width="4.5" style="38" bestFit="1" customWidth="1"/>
    <col min="15125" max="15125" width="4.375" style="38" customWidth="1"/>
    <col min="15126" max="15126" width="5.5" style="38" customWidth="1"/>
    <col min="15127" max="15360" width="9" style="38"/>
    <col min="15361" max="15361" width="2.5" style="38" customWidth="1"/>
    <col min="15362" max="15362" width="2.375" style="38" bestFit="1" customWidth="1"/>
    <col min="15363" max="15363" width="1.125" style="38" customWidth="1"/>
    <col min="15364" max="15364" width="5.625" style="38" customWidth="1"/>
    <col min="15365" max="15365" width="4.625" style="38" bestFit="1" customWidth="1"/>
    <col min="15366" max="15366" width="4.375" style="38" customWidth="1"/>
    <col min="15367" max="15367" width="4.625" style="38" bestFit="1" customWidth="1"/>
    <col min="15368" max="15368" width="5" style="38" bestFit="1" customWidth="1"/>
    <col min="15369" max="15372" width="4.625" style="38" bestFit="1" customWidth="1"/>
    <col min="15373" max="15373" width="4.75" style="38" bestFit="1" customWidth="1"/>
    <col min="15374" max="15379" width="4.625" style="38" bestFit="1" customWidth="1"/>
    <col min="15380" max="15380" width="4.5" style="38" bestFit="1" customWidth="1"/>
    <col min="15381" max="15381" width="4.375" style="38" customWidth="1"/>
    <col min="15382" max="15382" width="5.5" style="38" customWidth="1"/>
    <col min="15383" max="15616" width="9" style="38"/>
    <col min="15617" max="15617" width="2.5" style="38" customWidth="1"/>
    <col min="15618" max="15618" width="2.375" style="38" bestFit="1" customWidth="1"/>
    <col min="15619" max="15619" width="1.125" style="38" customWidth="1"/>
    <col min="15620" max="15620" width="5.625" style="38" customWidth="1"/>
    <col min="15621" max="15621" width="4.625" style="38" bestFit="1" customWidth="1"/>
    <col min="15622" max="15622" width="4.375" style="38" customWidth="1"/>
    <col min="15623" max="15623" width="4.625" style="38" bestFit="1" customWidth="1"/>
    <col min="15624" max="15624" width="5" style="38" bestFit="1" customWidth="1"/>
    <col min="15625" max="15628" width="4.625" style="38" bestFit="1" customWidth="1"/>
    <col min="15629" max="15629" width="4.75" style="38" bestFit="1" customWidth="1"/>
    <col min="15630" max="15635" width="4.625" style="38" bestFit="1" customWidth="1"/>
    <col min="15636" max="15636" width="4.5" style="38" bestFit="1" customWidth="1"/>
    <col min="15637" max="15637" width="4.375" style="38" customWidth="1"/>
    <col min="15638" max="15638" width="5.5" style="38" customWidth="1"/>
    <col min="15639" max="15872" width="9" style="38"/>
    <col min="15873" max="15873" width="2.5" style="38" customWidth="1"/>
    <col min="15874" max="15874" width="2.375" style="38" bestFit="1" customWidth="1"/>
    <col min="15875" max="15875" width="1.125" style="38" customWidth="1"/>
    <col min="15876" max="15876" width="5.625" style="38" customWidth="1"/>
    <col min="15877" max="15877" width="4.625" style="38" bestFit="1" customWidth="1"/>
    <col min="15878" max="15878" width="4.375" style="38" customWidth="1"/>
    <col min="15879" max="15879" width="4.625" style="38" bestFit="1" customWidth="1"/>
    <col min="15880" max="15880" width="5" style="38" bestFit="1" customWidth="1"/>
    <col min="15881" max="15884" width="4.625" style="38" bestFit="1" customWidth="1"/>
    <col min="15885" max="15885" width="4.75" style="38" bestFit="1" customWidth="1"/>
    <col min="15886" max="15891" width="4.625" style="38" bestFit="1" customWidth="1"/>
    <col min="15892" max="15892" width="4.5" style="38" bestFit="1" customWidth="1"/>
    <col min="15893" max="15893" width="4.375" style="38" customWidth="1"/>
    <col min="15894" max="15894" width="5.5" style="38" customWidth="1"/>
    <col min="15895" max="16128" width="9" style="38"/>
    <col min="16129" max="16129" width="2.5" style="38" customWidth="1"/>
    <col min="16130" max="16130" width="2.375" style="38" bestFit="1" customWidth="1"/>
    <col min="16131" max="16131" width="1.125" style="38" customWidth="1"/>
    <col min="16132" max="16132" width="5.625" style="38" customWidth="1"/>
    <col min="16133" max="16133" width="4.625" style="38" bestFit="1" customWidth="1"/>
    <col min="16134" max="16134" width="4.375" style="38" customWidth="1"/>
    <col min="16135" max="16135" width="4.625" style="38" bestFit="1" customWidth="1"/>
    <col min="16136" max="16136" width="5" style="38" bestFit="1" customWidth="1"/>
    <col min="16137" max="16140" width="4.625" style="38" bestFit="1" customWidth="1"/>
    <col min="16141" max="16141" width="4.75" style="38" bestFit="1" customWidth="1"/>
    <col min="16142" max="16147" width="4.625" style="38" bestFit="1" customWidth="1"/>
    <col min="16148" max="16148" width="4.5" style="38" bestFit="1" customWidth="1"/>
    <col min="16149" max="16149" width="4.375" style="38" customWidth="1"/>
    <col min="16150" max="16150" width="5.5" style="38" customWidth="1"/>
    <col min="16151" max="16384" width="9" style="38"/>
  </cols>
  <sheetData>
    <row r="1" spans="1:23" ht="16.5" customHeight="1">
      <c r="A1" s="25" t="s">
        <v>178</v>
      </c>
      <c r="B1" s="1"/>
      <c r="C1" s="1"/>
      <c r="D1" s="1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V1" s="85"/>
    </row>
    <row r="2" spans="1:23" ht="11.25" customHeight="1">
      <c r="A2" s="1"/>
      <c r="B2" s="1"/>
      <c r="C2" s="1"/>
      <c r="D2" s="1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 t="s">
        <v>94</v>
      </c>
    </row>
    <row r="3" spans="1:23" ht="11.25" customHeight="1">
      <c r="A3" s="223"/>
      <c r="B3" s="223"/>
      <c r="C3" s="223"/>
      <c r="D3" s="159"/>
      <c r="E3" s="218" t="s">
        <v>179</v>
      </c>
      <c r="F3" s="218"/>
      <c r="G3" s="86"/>
      <c r="H3" s="86" t="s">
        <v>95</v>
      </c>
      <c r="I3" s="86" t="s">
        <v>96</v>
      </c>
      <c r="J3" s="86"/>
      <c r="K3" s="86"/>
      <c r="L3" s="86"/>
      <c r="M3" s="218" t="s">
        <v>151</v>
      </c>
      <c r="N3" s="218"/>
      <c r="O3" s="86" t="s">
        <v>97</v>
      </c>
      <c r="P3" s="86" t="s">
        <v>98</v>
      </c>
      <c r="Q3" s="86" t="s">
        <v>99</v>
      </c>
      <c r="R3" s="86"/>
      <c r="S3" s="86" t="s">
        <v>100</v>
      </c>
      <c r="T3" s="86" t="s">
        <v>101</v>
      </c>
      <c r="U3" s="86" t="s">
        <v>102</v>
      </c>
      <c r="V3" s="87" t="s">
        <v>103</v>
      </c>
    </row>
    <row r="4" spans="1:23" ht="11.25" customHeight="1">
      <c r="A4" s="157"/>
      <c r="B4" s="157"/>
      <c r="C4" s="157"/>
      <c r="D4" s="161"/>
      <c r="E4" s="219" t="s">
        <v>104</v>
      </c>
      <c r="F4" s="221" t="s">
        <v>105</v>
      </c>
      <c r="G4" s="88" t="s">
        <v>106</v>
      </c>
      <c r="H4" s="88" t="s">
        <v>107</v>
      </c>
      <c r="I4" s="88" t="s">
        <v>108</v>
      </c>
      <c r="J4" s="88" t="s">
        <v>109</v>
      </c>
      <c r="K4" s="88" t="s">
        <v>110</v>
      </c>
      <c r="L4" s="88" t="s">
        <v>111</v>
      </c>
      <c r="M4" s="221" t="s">
        <v>112</v>
      </c>
      <c r="N4" s="221" t="s">
        <v>113</v>
      </c>
      <c r="O4" s="88"/>
      <c r="P4" s="88" t="s">
        <v>114</v>
      </c>
      <c r="Q4" s="88" t="s">
        <v>114</v>
      </c>
      <c r="R4" s="88" t="s">
        <v>115</v>
      </c>
      <c r="S4" s="88"/>
      <c r="T4" s="88" t="s">
        <v>116</v>
      </c>
      <c r="U4" s="88" t="s">
        <v>117</v>
      </c>
      <c r="V4" s="89" t="s">
        <v>118</v>
      </c>
    </row>
    <row r="5" spans="1:23" ht="11.25" customHeight="1">
      <c r="A5" s="224"/>
      <c r="B5" s="224"/>
      <c r="C5" s="224"/>
      <c r="D5" s="225"/>
      <c r="E5" s="220"/>
      <c r="F5" s="222"/>
      <c r="G5" s="90"/>
      <c r="H5" s="90" t="s">
        <v>119</v>
      </c>
      <c r="I5" s="90" t="s">
        <v>120</v>
      </c>
      <c r="J5" s="90"/>
      <c r="K5" s="90"/>
      <c r="L5" s="90"/>
      <c r="M5" s="222"/>
      <c r="N5" s="222"/>
      <c r="O5" s="90" t="s">
        <v>121</v>
      </c>
      <c r="P5" s="90" t="s">
        <v>180</v>
      </c>
      <c r="Q5" s="90" t="s">
        <v>122</v>
      </c>
      <c r="R5" s="90"/>
      <c r="S5" s="90" t="s">
        <v>123</v>
      </c>
      <c r="T5" s="90" t="s">
        <v>122</v>
      </c>
      <c r="U5" s="90" t="s">
        <v>120</v>
      </c>
      <c r="V5" s="91" t="s">
        <v>124</v>
      </c>
    </row>
    <row r="6" spans="1:23" ht="11.25" customHeight="1">
      <c r="A6" s="199" t="s">
        <v>67</v>
      </c>
      <c r="B6" s="131" t="s">
        <v>125</v>
      </c>
      <c r="C6" s="200" t="s">
        <v>181</v>
      </c>
      <c r="D6" s="201"/>
      <c r="E6" s="92">
        <v>37</v>
      </c>
      <c r="F6" s="92">
        <v>235</v>
      </c>
      <c r="G6" s="92">
        <v>1126</v>
      </c>
      <c r="H6" s="92">
        <v>440</v>
      </c>
      <c r="I6" s="92">
        <v>99</v>
      </c>
      <c r="J6" s="92">
        <v>3</v>
      </c>
      <c r="K6" s="92">
        <v>133</v>
      </c>
      <c r="L6" s="92">
        <v>1559</v>
      </c>
      <c r="M6" s="92">
        <v>867</v>
      </c>
      <c r="N6" s="92">
        <v>322</v>
      </c>
      <c r="O6" s="92">
        <v>335</v>
      </c>
      <c r="P6" s="92">
        <v>14</v>
      </c>
      <c r="Q6" s="92">
        <v>1</v>
      </c>
      <c r="R6" s="92">
        <v>83</v>
      </c>
      <c r="S6" s="92">
        <v>0</v>
      </c>
      <c r="T6" s="92">
        <v>0</v>
      </c>
      <c r="U6" s="92">
        <v>68</v>
      </c>
      <c r="V6" s="94">
        <v>31</v>
      </c>
      <c r="W6" s="39"/>
    </row>
    <row r="7" spans="1:23" ht="11.25" customHeight="1">
      <c r="A7" s="197"/>
      <c r="B7" s="93" t="s">
        <v>126</v>
      </c>
      <c r="C7" s="202" t="s">
        <v>182</v>
      </c>
      <c r="D7" s="203"/>
      <c r="E7" s="92">
        <v>10187</v>
      </c>
      <c r="F7" s="92">
        <v>106123</v>
      </c>
      <c r="G7" s="92">
        <v>87006</v>
      </c>
      <c r="H7" s="92">
        <v>81036</v>
      </c>
      <c r="I7" s="92">
        <v>530</v>
      </c>
      <c r="J7" s="92">
        <v>188</v>
      </c>
      <c r="K7" s="92">
        <v>3859</v>
      </c>
      <c r="L7" s="92">
        <v>85064</v>
      </c>
      <c r="M7" s="92">
        <v>58326</v>
      </c>
      <c r="N7" s="92">
        <v>45155</v>
      </c>
      <c r="O7" s="92">
        <v>46036</v>
      </c>
      <c r="P7" s="77">
        <v>1948</v>
      </c>
      <c r="Q7" s="77">
        <v>29</v>
      </c>
      <c r="R7" s="77">
        <v>12029</v>
      </c>
      <c r="S7" s="77">
        <v>0</v>
      </c>
      <c r="T7" s="77">
        <v>0</v>
      </c>
      <c r="U7" s="92">
        <v>715</v>
      </c>
      <c r="V7" s="27">
        <v>6338</v>
      </c>
      <c r="W7" s="39"/>
    </row>
    <row r="8" spans="1:23" ht="11.25" customHeight="1">
      <c r="A8" s="161">
        <v>28</v>
      </c>
      <c r="B8" s="172" t="s">
        <v>127</v>
      </c>
      <c r="C8" s="158" t="s">
        <v>128</v>
      </c>
      <c r="D8" s="159"/>
      <c r="E8" s="75">
        <v>21</v>
      </c>
      <c r="F8" s="75">
        <v>94</v>
      </c>
      <c r="G8" s="75">
        <v>846</v>
      </c>
      <c r="H8" s="75">
        <v>174</v>
      </c>
      <c r="I8" s="75">
        <v>98</v>
      </c>
      <c r="J8" s="75">
        <v>3</v>
      </c>
      <c r="K8" s="75">
        <v>126</v>
      </c>
      <c r="L8" s="75">
        <v>936</v>
      </c>
      <c r="M8" s="75">
        <v>191</v>
      </c>
      <c r="N8" s="75">
        <v>137</v>
      </c>
      <c r="O8" s="75">
        <v>45</v>
      </c>
      <c r="P8" s="92">
        <v>13</v>
      </c>
      <c r="Q8" s="92">
        <v>0</v>
      </c>
      <c r="R8" s="92">
        <v>70</v>
      </c>
      <c r="S8" s="92">
        <v>0</v>
      </c>
      <c r="T8" s="92">
        <v>0</v>
      </c>
      <c r="U8" s="75">
        <v>67</v>
      </c>
      <c r="V8" s="94">
        <v>14</v>
      </c>
      <c r="W8" s="39"/>
    </row>
    <row r="9" spans="1:23" ht="11.25" customHeight="1">
      <c r="A9" s="161"/>
      <c r="B9" s="170"/>
      <c r="C9" s="160" t="s">
        <v>129</v>
      </c>
      <c r="D9" s="161"/>
      <c r="E9" s="92">
        <v>8683</v>
      </c>
      <c r="F9" s="92">
        <v>68773</v>
      </c>
      <c r="G9" s="92">
        <v>81976</v>
      </c>
      <c r="H9" s="92">
        <v>67087</v>
      </c>
      <c r="I9" s="92">
        <v>528</v>
      </c>
      <c r="J9" s="92">
        <v>188</v>
      </c>
      <c r="K9" s="92">
        <v>3680</v>
      </c>
      <c r="L9" s="92">
        <v>72448</v>
      </c>
      <c r="M9" s="92">
        <v>39730</v>
      </c>
      <c r="N9" s="92">
        <v>39039</v>
      </c>
      <c r="O9" s="92">
        <v>33790</v>
      </c>
      <c r="P9" s="92">
        <v>1904</v>
      </c>
      <c r="Q9" s="92">
        <v>0</v>
      </c>
      <c r="R9" s="92">
        <v>10378</v>
      </c>
      <c r="S9" s="92">
        <v>0</v>
      </c>
      <c r="T9" s="92">
        <v>0</v>
      </c>
      <c r="U9" s="92">
        <v>710</v>
      </c>
      <c r="V9" s="27">
        <v>5839</v>
      </c>
      <c r="W9" s="39"/>
    </row>
    <row r="10" spans="1:23" ht="11.25" customHeight="1">
      <c r="A10" s="161"/>
      <c r="B10" s="170"/>
      <c r="C10" s="133"/>
      <c r="D10" s="95" t="s">
        <v>69</v>
      </c>
      <c r="E10" s="92">
        <v>8478</v>
      </c>
      <c r="F10" s="92">
        <v>67212</v>
      </c>
      <c r="G10" s="92">
        <v>77796</v>
      </c>
      <c r="H10" s="92">
        <v>65075</v>
      </c>
      <c r="I10" s="92">
        <v>463</v>
      </c>
      <c r="J10" s="92">
        <v>176</v>
      </c>
      <c r="K10" s="92">
        <v>3128</v>
      </c>
      <c r="L10" s="92">
        <v>68760</v>
      </c>
      <c r="M10" s="92">
        <v>37969</v>
      </c>
      <c r="N10" s="92">
        <v>37575</v>
      </c>
      <c r="O10" s="92">
        <v>33382</v>
      </c>
      <c r="P10" s="92">
        <v>1857</v>
      </c>
      <c r="Q10" s="92">
        <v>0</v>
      </c>
      <c r="R10" s="92">
        <v>9604</v>
      </c>
      <c r="S10" s="92">
        <v>0</v>
      </c>
      <c r="T10" s="92">
        <v>0</v>
      </c>
      <c r="U10" s="92">
        <v>655</v>
      </c>
      <c r="V10" s="27">
        <v>5617</v>
      </c>
      <c r="W10" s="39"/>
    </row>
    <row r="11" spans="1:23" ht="11.25" customHeight="1">
      <c r="A11" s="161"/>
      <c r="B11" s="171"/>
      <c r="C11" s="134"/>
      <c r="D11" s="96" t="s">
        <v>73</v>
      </c>
      <c r="E11" s="77">
        <v>205</v>
      </c>
      <c r="F11" s="77">
        <v>1561</v>
      </c>
      <c r="G11" s="77">
        <v>4180</v>
      </c>
      <c r="H11" s="77">
        <v>2012</v>
      </c>
      <c r="I11" s="77">
        <v>65</v>
      </c>
      <c r="J11" s="77">
        <v>12</v>
      </c>
      <c r="K11" s="77">
        <v>552</v>
      </c>
      <c r="L11" s="77">
        <v>3688</v>
      </c>
      <c r="M11" s="77">
        <v>1761</v>
      </c>
      <c r="N11" s="77">
        <v>1464</v>
      </c>
      <c r="O11" s="77">
        <v>408</v>
      </c>
      <c r="P11" s="77">
        <v>47</v>
      </c>
      <c r="Q11" s="77">
        <v>0</v>
      </c>
      <c r="R11" s="77">
        <v>774</v>
      </c>
      <c r="S11" s="77">
        <v>0</v>
      </c>
      <c r="T11" s="77">
        <v>0</v>
      </c>
      <c r="U11" s="77">
        <v>55</v>
      </c>
      <c r="V11" s="97">
        <v>222</v>
      </c>
      <c r="W11" s="39"/>
    </row>
    <row r="12" spans="1:23" ht="11.25" customHeight="1">
      <c r="A12" s="197" t="s">
        <v>71</v>
      </c>
      <c r="B12" s="172" t="s">
        <v>130</v>
      </c>
      <c r="C12" s="158" t="s">
        <v>128</v>
      </c>
      <c r="D12" s="159"/>
      <c r="E12" s="92">
        <v>16</v>
      </c>
      <c r="F12" s="92">
        <v>141</v>
      </c>
      <c r="G12" s="92">
        <v>280</v>
      </c>
      <c r="H12" s="92">
        <v>266</v>
      </c>
      <c r="I12" s="92">
        <v>1</v>
      </c>
      <c r="J12" s="92">
        <v>0</v>
      </c>
      <c r="K12" s="92">
        <v>7</v>
      </c>
      <c r="L12" s="92">
        <v>623</v>
      </c>
      <c r="M12" s="92">
        <v>676</v>
      </c>
      <c r="N12" s="92">
        <v>185</v>
      </c>
      <c r="O12" s="92">
        <v>290</v>
      </c>
      <c r="P12" s="92">
        <v>1</v>
      </c>
      <c r="Q12" s="92">
        <v>1</v>
      </c>
      <c r="R12" s="92">
        <v>13</v>
      </c>
      <c r="S12" s="92">
        <v>0</v>
      </c>
      <c r="T12" s="92">
        <v>0</v>
      </c>
      <c r="U12" s="92">
        <v>1</v>
      </c>
      <c r="V12" s="27">
        <v>17</v>
      </c>
      <c r="W12" s="39"/>
    </row>
    <row r="13" spans="1:23" ht="11.25" customHeight="1">
      <c r="A13" s="197"/>
      <c r="B13" s="170"/>
      <c r="C13" s="160" t="s">
        <v>129</v>
      </c>
      <c r="D13" s="161"/>
      <c r="E13" s="92">
        <v>1504</v>
      </c>
      <c r="F13" s="92">
        <v>37350</v>
      </c>
      <c r="G13" s="92">
        <v>5030</v>
      </c>
      <c r="H13" s="92">
        <v>13949</v>
      </c>
      <c r="I13" s="92">
        <v>2</v>
      </c>
      <c r="J13" s="92">
        <v>0</v>
      </c>
      <c r="K13" s="92">
        <v>179</v>
      </c>
      <c r="L13" s="92">
        <v>12616</v>
      </c>
      <c r="M13" s="92">
        <v>18596</v>
      </c>
      <c r="N13" s="92">
        <v>6116</v>
      </c>
      <c r="O13" s="92">
        <v>12246</v>
      </c>
      <c r="P13" s="92">
        <v>44</v>
      </c>
      <c r="Q13" s="92">
        <v>29</v>
      </c>
      <c r="R13" s="92">
        <v>1651</v>
      </c>
      <c r="S13" s="92">
        <v>0</v>
      </c>
      <c r="T13" s="92">
        <v>0</v>
      </c>
      <c r="U13" s="92">
        <v>5</v>
      </c>
      <c r="V13" s="27">
        <v>499</v>
      </c>
      <c r="W13" s="39"/>
    </row>
    <row r="14" spans="1:23" ht="11.25" customHeight="1">
      <c r="A14" s="197"/>
      <c r="B14" s="170"/>
      <c r="C14" s="133"/>
      <c r="D14" s="95" t="s">
        <v>69</v>
      </c>
      <c r="E14" s="92">
        <v>1463</v>
      </c>
      <c r="F14" s="92">
        <v>36092</v>
      </c>
      <c r="G14" s="92">
        <v>4871</v>
      </c>
      <c r="H14" s="92">
        <v>13615</v>
      </c>
      <c r="I14" s="92">
        <v>2</v>
      </c>
      <c r="J14" s="92">
        <v>0</v>
      </c>
      <c r="K14" s="92">
        <v>132</v>
      </c>
      <c r="L14" s="92">
        <v>11975</v>
      </c>
      <c r="M14" s="92">
        <v>17926</v>
      </c>
      <c r="N14" s="92">
        <v>5860</v>
      </c>
      <c r="O14" s="92">
        <v>12042</v>
      </c>
      <c r="P14" s="92">
        <v>44</v>
      </c>
      <c r="Q14" s="92">
        <v>26</v>
      </c>
      <c r="R14" s="92">
        <v>1574</v>
      </c>
      <c r="S14" s="92">
        <v>0</v>
      </c>
      <c r="T14" s="92">
        <v>0</v>
      </c>
      <c r="U14" s="92">
        <v>5</v>
      </c>
      <c r="V14" s="27">
        <v>479</v>
      </c>
      <c r="W14" s="39"/>
    </row>
    <row r="15" spans="1:23" ht="11.25" customHeight="1">
      <c r="A15" s="198"/>
      <c r="B15" s="171"/>
      <c r="C15" s="134"/>
      <c r="D15" s="96" t="s">
        <v>73</v>
      </c>
      <c r="E15" s="77">
        <v>41</v>
      </c>
      <c r="F15" s="77">
        <v>1258</v>
      </c>
      <c r="G15" s="77">
        <v>159</v>
      </c>
      <c r="H15" s="77">
        <v>334</v>
      </c>
      <c r="I15" s="77">
        <v>0</v>
      </c>
      <c r="J15" s="77">
        <v>0</v>
      </c>
      <c r="K15" s="77">
        <v>47</v>
      </c>
      <c r="L15" s="77">
        <v>641</v>
      </c>
      <c r="M15" s="77">
        <v>670</v>
      </c>
      <c r="N15" s="77">
        <v>256</v>
      </c>
      <c r="O15" s="77">
        <v>204</v>
      </c>
      <c r="P15" s="77">
        <v>0</v>
      </c>
      <c r="Q15" s="77">
        <v>3</v>
      </c>
      <c r="R15" s="77">
        <v>77</v>
      </c>
      <c r="S15" s="77">
        <v>0</v>
      </c>
      <c r="T15" s="77">
        <v>0</v>
      </c>
      <c r="U15" s="77">
        <v>0</v>
      </c>
      <c r="V15" s="97">
        <v>20</v>
      </c>
      <c r="W15" s="39"/>
    </row>
    <row r="16" spans="1:23" ht="11.25" customHeight="1">
      <c r="A16" s="213" t="s">
        <v>67</v>
      </c>
      <c r="B16" s="98" t="s">
        <v>125</v>
      </c>
      <c r="C16" s="214" t="s">
        <v>181</v>
      </c>
      <c r="D16" s="215"/>
      <c r="E16" s="63">
        <v>30</v>
      </c>
      <c r="F16" s="63">
        <v>206</v>
      </c>
      <c r="G16" s="63">
        <v>1149</v>
      </c>
      <c r="H16" s="63">
        <v>435</v>
      </c>
      <c r="I16" s="63">
        <v>126</v>
      </c>
      <c r="J16" s="63">
        <v>15</v>
      </c>
      <c r="K16" s="63">
        <v>125</v>
      </c>
      <c r="L16" s="63">
        <v>1482</v>
      </c>
      <c r="M16" s="63">
        <v>794</v>
      </c>
      <c r="N16" s="63">
        <v>371</v>
      </c>
      <c r="O16" s="63">
        <v>297</v>
      </c>
      <c r="P16" s="63">
        <v>27</v>
      </c>
      <c r="Q16" s="63">
        <v>4</v>
      </c>
      <c r="R16" s="63">
        <v>63</v>
      </c>
      <c r="S16" s="63">
        <v>1</v>
      </c>
      <c r="T16" s="63">
        <v>0</v>
      </c>
      <c r="U16" s="63">
        <v>59</v>
      </c>
      <c r="V16" s="64">
        <v>33</v>
      </c>
    </row>
    <row r="17" spans="1:23" ht="11.25" customHeight="1">
      <c r="A17" s="211"/>
      <c r="B17" s="99" t="s">
        <v>126</v>
      </c>
      <c r="C17" s="216" t="s">
        <v>182</v>
      </c>
      <c r="D17" s="217"/>
      <c r="E17" s="63">
        <v>13181</v>
      </c>
      <c r="F17" s="63">
        <v>85575</v>
      </c>
      <c r="G17" s="63">
        <v>83988</v>
      </c>
      <c r="H17" s="63">
        <v>80676</v>
      </c>
      <c r="I17" s="63">
        <v>691</v>
      </c>
      <c r="J17" s="63">
        <v>1159</v>
      </c>
      <c r="K17" s="63">
        <v>3686</v>
      </c>
      <c r="L17" s="63">
        <v>81675</v>
      </c>
      <c r="M17" s="63">
        <v>54836</v>
      </c>
      <c r="N17" s="63">
        <v>54588</v>
      </c>
      <c r="O17" s="63">
        <v>39249</v>
      </c>
      <c r="P17" s="65">
        <v>4117</v>
      </c>
      <c r="Q17" s="65">
        <v>1258</v>
      </c>
      <c r="R17" s="65">
        <v>8699</v>
      </c>
      <c r="S17" s="65">
        <v>7</v>
      </c>
      <c r="T17" s="65">
        <v>0</v>
      </c>
      <c r="U17" s="63">
        <v>642</v>
      </c>
      <c r="V17" s="66">
        <v>9149</v>
      </c>
    </row>
    <row r="18" spans="1:23" ht="11.25" customHeight="1">
      <c r="A18" s="204">
        <v>29</v>
      </c>
      <c r="B18" s="205" t="s">
        <v>127</v>
      </c>
      <c r="C18" s="208" t="s">
        <v>128</v>
      </c>
      <c r="D18" s="209"/>
      <c r="E18" s="67">
        <v>19</v>
      </c>
      <c r="F18" s="67">
        <v>85</v>
      </c>
      <c r="G18" s="67">
        <v>786</v>
      </c>
      <c r="H18" s="67">
        <v>170</v>
      </c>
      <c r="I18" s="67">
        <v>125</v>
      </c>
      <c r="J18" s="67">
        <v>15</v>
      </c>
      <c r="K18" s="67">
        <v>119</v>
      </c>
      <c r="L18" s="67">
        <v>874</v>
      </c>
      <c r="M18" s="67">
        <v>165</v>
      </c>
      <c r="N18" s="67">
        <v>162</v>
      </c>
      <c r="O18" s="67">
        <v>42</v>
      </c>
      <c r="P18" s="63">
        <v>25</v>
      </c>
      <c r="Q18" s="63">
        <v>4</v>
      </c>
      <c r="R18" s="63">
        <v>56</v>
      </c>
      <c r="S18" s="63">
        <v>1</v>
      </c>
      <c r="T18" s="63">
        <v>0</v>
      </c>
      <c r="U18" s="67">
        <v>57</v>
      </c>
      <c r="V18" s="64">
        <v>16</v>
      </c>
    </row>
    <row r="19" spans="1:23" ht="11.25" customHeight="1">
      <c r="A19" s="204"/>
      <c r="B19" s="206"/>
      <c r="C19" s="210" t="s">
        <v>129</v>
      </c>
      <c r="D19" s="204"/>
      <c r="E19" s="63">
        <v>9354</v>
      </c>
      <c r="F19" s="63">
        <v>53930</v>
      </c>
      <c r="G19" s="63">
        <v>77087</v>
      </c>
      <c r="H19" s="63">
        <v>67319</v>
      </c>
      <c r="I19" s="63">
        <v>689</v>
      </c>
      <c r="J19" s="63">
        <v>1159</v>
      </c>
      <c r="K19" s="63">
        <v>3570</v>
      </c>
      <c r="L19" s="63">
        <v>69241</v>
      </c>
      <c r="M19" s="63">
        <v>36387</v>
      </c>
      <c r="N19" s="63">
        <v>48417</v>
      </c>
      <c r="O19" s="63">
        <v>28265</v>
      </c>
      <c r="P19" s="63">
        <v>4089</v>
      </c>
      <c r="Q19" s="63">
        <v>1258</v>
      </c>
      <c r="R19" s="63">
        <v>8063</v>
      </c>
      <c r="S19" s="63">
        <v>7</v>
      </c>
      <c r="T19" s="63">
        <v>0</v>
      </c>
      <c r="U19" s="63">
        <v>637</v>
      </c>
      <c r="V19" s="66">
        <v>8812</v>
      </c>
    </row>
    <row r="20" spans="1:23" ht="11.25" customHeight="1">
      <c r="A20" s="204"/>
      <c r="B20" s="206"/>
      <c r="C20" s="135"/>
      <c r="D20" s="100" t="s">
        <v>69</v>
      </c>
      <c r="E20" s="63">
        <v>9076</v>
      </c>
      <c r="F20" s="63">
        <v>52563</v>
      </c>
      <c r="G20" s="63">
        <v>73615</v>
      </c>
      <c r="H20" s="63">
        <v>65448</v>
      </c>
      <c r="I20" s="63">
        <v>620</v>
      </c>
      <c r="J20" s="63">
        <v>1146</v>
      </c>
      <c r="K20" s="63">
        <v>2981</v>
      </c>
      <c r="L20" s="63">
        <v>64870</v>
      </c>
      <c r="M20" s="63">
        <v>34771</v>
      </c>
      <c r="N20" s="63">
        <v>46653</v>
      </c>
      <c r="O20" s="63">
        <v>27834</v>
      </c>
      <c r="P20" s="63">
        <v>3866</v>
      </c>
      <c r="Q20" s="63">
        <v>1176</v>
      </c>
      <c r="R20" s="63">
        <v>7769</v>
      </c>
      <c r="S20" s="63">
        <v>7</v>
      </c>
      <c r="T20" s="63">
        <v>0</v>
      </c>
      <c r="U20" s="63">
        <v>590</v>
      </c>
      <c r="V20" s="66">
        <v>8644</v>
      </c>
    </row>
    <row r="21" spans="1:23" ht="11.25" customHeight="1">
      <c r="A21" s="204"/>
      <c r="B21" s="207"/>
      <c r="C21" s="136"/>
      <c r="D21" s="101" t="s">
        <v>73</v>
      </c>
      <c r="E21" s="65">
        <v>278</v>
      </c>
      <c r="F21" s="65">
        <v>1367</v>
      </c>
      <c r="G21" s="65">
        <v>3472</v>
      </c>
      <c r="H21" s="65">
        <v>1871</v>
      </c>
      <c r="I21" s="65">
        <v>69</v>
      </c>
      <c r="J21" s="65">
        <v>13</v>
      </c>
      <c r="K21" s="65">
        <v>589</v>
      </c>
      <c r="L21" s="65">
        <v>4371</v>
      </c>
      <c r="M21" s="65">
        <v>1616</v>
      </c>
      <c r="N21" s="65">
        <v>1764</v>
      </c>
      <c r="O21" s="65">
        <v>431</v>
      </c>
      <c r="P21" s="65">
        <v>223</v>
      </c>
      <c r="Q21" s="65">
        <v>82</v>
      </c>
      <c r="R21" s="65">
        <v>294</v>
      </c>
      <c r="S21" s="65">
        <v>0</v>
      </c>
      <c r="T21" s="65">
        <v>0</v>
      </c>
      <c r="U21" s="65">
        <v>47</v>
      </c>
      <c r="V21" s="68">
        <v>168</v>
      </c>
    </row>
    <row r="22" spans="1:23" ht="11.25" customHeight="1">
      <c r="A22" s="211" t="s">
        <v>71</v>
      </c>
      <c r="B22" s="205" t="s">
        <v>130</v>
      </c>
      <c r="C22" s="208" t="s">
        <v>128</v>
      </c>
      <c r="D22" s="209"/>
      <c r="E22" s="63">
        <v>11</v>
      </c>
      <c r="F22" s="63">
        <v>121</v>
      </c>
      <c r="G22" s="63">
        <v>363</v>
      </c>
      <c r="H22" s="63">
        <v>265</v>
      </c>
      <c r="I22" s="63">
        <v>1</v>
      </c>
      <c r="J22" s="63">
        <v>0</v>
      </c>
      <c r="K22" s="63">
        <v>6</v>
      </c>
      <c r="L22" s="63">
        <v>608</v>
      </c>
      <c r="M22" s="63">
        <v>629</v>
      </c>
      <c r="N22" s="63">
        <v>209</v>
      </c>
      <c r="O22" s="63">
        <v>255</v>
      </c>
      <c r="P22" s="63">
        <v>2</v>
      </c>
      <c r="Q22" s="63">
        <v>0</v>
      </c>
      <c r="R22" s="63">
        <v>7</v>
      </c>
      <c r="S22" s="63">
        <v>0</v>
      </c>
      <c r="T22" s="63">
        <v>0</v>
      </c>
      <c r="U22" s="63">
        <v>2</v>
      </c>
      <c r="V22" s="66">
        <v>17</v>
      </c>
    </row>
    <row r="23" spans="1:23" ht="11.25" customHeight="1">
      <c r="A23" s="211"/>
      <c r="B23" s="206"/>
      <c r="C23" s="210" t="s">
        <v>129</v>
      </c>
      <c r="D23" s="204"/>
      <c r="E23" s="63">
        <v>3827</v>
      </c>
      <c r="F23" s="63">
        <v>31645</v>
      </c>
      <c r="G23" s="63">
        <v>6901</v>
      </c>
      <c r="H23" s="63">
        <v>13357</v>
      </c>
      <c r="I23" s="63">
        <v>2</v>
      </c>
      <c r="J23" s="63">
        <v>0</v>
      </c>
      <c r="K23" s="63">
        <v>116</v>
      </c>
      <c r="L23" s="63">
        <v>12434</v>
      </c>
      <c r="M23" s="63">
        <v>18449</v>
      </c>
      <c r="N23" s="63">
        <v>6171</v>
      </c>
      <c r="O23" s="63">
        <v>10984</v>
      </c>
      <c r="P23" s="63">
        <v>28</v>
      </c>
      <c r="Q23" s="63">
        <v>0</v>
      </c>
      <c r="R23" s="63">
        <v>636</v>
      </c>
      <c r="S23" s="63">
        <v>0</v>
      </c>
      <c r="T23" s="63">
        <v>0</v>
      </c>
      <c r="U23" s="63">
        <v>5</v>
      </c>
      <c r="V23" s="66">
        <v>337</v>
      </c>
    </row>
    <row r="24" spans="1:23" ht="11.25" customHeight="1">
      <c r="A24" s="211"/>
      <c r="B24" s="206"/>
      <c r="C24" s="135"/>
      <c r="D24" s="100" t="s">
        <v>69</v>
      </c>
      <c r="E24" s="63">
        <v>3744</v>
      </c>
      <c r="F24" s="63">
        <v>30833</v>
      </c>
      <c r="G24" s="63">
        <v>6686</v>
      </c>
      <c r="H24" s="63">
        <v>13010</v>
      </c>
      <c r="I24" s="63">
        <v>2</v>
      </c>
      <c r="J24" s="63">
        <v>0</v>
      </c>
      <c r="K24" s="63">
        <v>84</v>
      </c>
      <c r="L24" s="63">
        <v>11810</v>
      </c>
      <c r="M24" s="63">
        <v>17877</v>
      </c>
      <c r="N24" s="63">
        <v>6021</v>
      </c>
      <c r="O24" s="63">
        <v>10763</v>
      </c>
      <c r="P24" s="63">
        <v>28</v>
      </c>
      <c r="Q24" s="63">
        <v>0</v>
      </c>
      <c r="R24" s="63">
        <v>579</v>
      </c>
      <c r="S24" s="63">
        <v>0</v>
      </c>
      <c r="T24" s="63">
        <v>0</v>
      </c>
      <c r="U24" s="63">
        <v>5</v>
      </c>
      <c r="V24" s="66">
        <v>321</v>
      </c>
    </row>
    <row r="25" spans="1:23" ht="11.25" customHeight="1">
      <c r="A25" s="212"/>
      <c r="B25" s="207"/>
      <c r="C25" s="136"/>
      <c r="D25" s="101" t="s">
        <v>73</v>
      </c>
      <c r="E25" s="65">
        <v>83</v>
      </c>
      <c r="F25" s="65">
        <v>812</v>
      </c>
      <c r="G25" s="65">
        <v>215</v>
      </c>
      <c r="H25" s="65">
        <v>347</v>
      </c>
      <c r="I25" s="65">
        <v>0</v>
      </c>
      <c r="J25" s="65">
        <v>0</v>
      </c>
      <c r="K25" s="65">
        <v>32</v>
      </c>
      <c r="L25" s="65">
        <v>624</v>
      </c>
      <c r="M25" s="65">
        <v>572</v>
      </c>
      <c r="N25" s="65">
        <v>150</v>
      </c>
      <c r="O25" s="65">
        <v>221</v>
      </c>
      <c r="P25" s="65">
        <v>0</v>
      </c>
      <c r="Q25" s="65">
        <v>0</v>
      </c>
      <c r="R25" s="65">
        <v>57</v>
      </c>
      <c r="S25" s="65">
        <v>0</v>
      </c>
      <c r="T25" s="65">
        <v>0</v>
      </c>
      <c r="U25" s="65">
        <v>0</v>
      </c>
      <c r="V25" s="68">
        <v>16</v>
      </c>
    </row>
    <row r="26" spans="1:23" ht="11.25" customHeight="1">
      <c r="A26" s="199" t="s">
        <v>67</v>
      </c>
      <c r="B26" s="131" t="s">
        <v>125</v>
      </c>
      <c r="C26" s="200" t="s">
        <v>181</v>
      </c>
      <c r="D26" s="201"/>
      <c r="E26" s="92">
        <v>32</v>
      </c>
      <c r="F26" s="92">
        <v>221</v>
      </c>
      <c r="G26" s="92">
        <v>1089</v>
      </c>
      <c r="H26" s="92">
        <v>378</v>
      </c>
      <c r="I26" s="92">
        <v>118</v>
      </c>
      <c r="J26" s="92">
        <v>6</v>
      </c>
      <c r="K26" s="92">
        <v>160</v>
      </c>
      <c r="L26" s="92">
        <v>1422</v>
      </c>
      <c r="M26" s="92">
        <v>797</v>
      </c>
      <c r="N26" s="92">
        <v>324</v>
      </c>
      <c r="O26" s="92">
        <v>279</v>
      </c>
      <c r="P26" s="92">
        <v>10</v>
      </c>
      <c r="Q26" s="92">
        <v>0</v>
      </c>
      <c r="R26" s="92">
        <v>54</v>
      </c>
      <c r="S26" s="92">
        <v>0</v>
      </c>
      <c r="T26" s="92">
        <v>0</v>
      </c>
      <c r="U26" s="92">
        <v>66</v>
      </c>
      <c r="V26" s="27">
        <v>27</v>
      </c>
      <c r="W26" s="39"/>
    </row>
    <row r="27" spans="1:23" ht="11.25" customHeight="1">
      <c r="A27" s="197"/>
      <c r="B27" s="93" t="s">
        <v>126</v>
      </c>
      <c r="C27" s="202" t="s">
        <v>182</v>
      </c>
      <c r="D27" s="203"/>
      <c r="E27" s="92">
        <v>6507</v>
      </c>
      <c r="F27" s="92">
        <v>96576</v>
      </c>
      <c r="G27" s="92">
        <v>79229</v>
      </c>
      <c r="H27" s="92">
        <v>66682</v>
      </c>
      <c r="I27" s="92">
        <v>621</v>
      </c>
      <c r="J27" s="92">
        <v>518</v>
      </c>
      <c r="K27" s="92">
        <v>4854</v>
      </c>
      <c r="L27" s="92">
        <v>79709</v>
      </c>
      <c r="M27" s="92">
        <v>54033</v>
      </c>
      <c r="N27" s="92">
        <v>44793</v>
      </c>
      <c r="O27" s="92">
        <v>38783</v>
      </c>
      <c r="P27" s="77">
        <v>1084</v>
      </c>
      <c r="Q27" s="92">
        <v>0</v>
      </c>
      <c r="R27" s="77">
        <v>2129</v>
      </c>
      <c r="S27" s="77">
        <v>0</v>
      </c>
      <c r="T27" s="77" t="s">
        <v>131</v>
      </c>
      <c r="U27" s="92">
        <v>734</v>
      </c>
      <c r="V27" s="27">
        <v>6762</v>
      </c>
      <c r="W27" s="39"/>
    </row>
    <row r="28" spans="1:23" ht="11.25" customHeight="1">
      <c r="A28" s="161">
        <v>30</v>
      </c>
      <c r="B28" s="172" t="s">
        <v>127</v>
      </c>
      <c r="C28" s="158" t="s">
        <v>128</v>
      </c>
      <c r="D28" s="159"/>
      <c r="E28" s="75">
        <v>20</v>
      </c>
      <c r="F28" s="75">
        <v>85</v>
      </c>
      <c r="G28" s="75">
        <v>749</v>
      </c>
      <c r="H28" s="75">
        <v>128</v>
      </c>
      <c r="I28" s="75">
        <v>117</v>
      </c>
      <c r="J28" s="75">
        <v>6</v>
      </c>
      <c r="K28" s="75">
        <v>151</v>
      </c>
      <c r="L28" s="75">
        <v>897</v>
      </c>
      <c r="M28" s="75">
        <v>167</v>
      </c>
      <c r="N28" s="75">
        <v>128</v>
      </c>
      <c r="O28" s="75">
        <v>41</v>
      </c>
      <c r="P28" s="92">
        <v>7</v>
      </c>
      <c r="Q28" s="75">
        <v>0</v>
      </c>
      <c r="R28" s="92">
        <v>48</v>
      </c>
      <c r="S28" s="92">
        <v>0</v>
      </c>
      <c r="T28" s="92">
        <v>0</v>
      </c>
      <c r="U28" s="75">
        <v>66</v>
      </c>
      <c r="V28" s="94">
        <v>11</v>
      </c>
      <c r="W28" s="39"/>
    </row>
    <row r="29" spans="1:23" ht="11.25" customHeight="1">
      <c r="A29" s="161"/>
      <c r="B29" s="170"/>
      <c r="C29" s="160" t="s">
        <v>129</v>
      </c>
      <c r="D29" s="161"/>
      <c r="E29" s="92">
        <v>4209</v>
      </c>
      <c r="F29" s="92">
        <v>54891</v>
      </c>
      <c r="G29" s="92">
        <v>73200</v>
      </c>
      <c r="H29" s="92">
        <v>52996</v>
      </c>
      <c r="I29" s="92">
        <v>617</v>
      </c>
      <c r="J29" s="92">
        <v>518</v>
      </c>
      <c r="K29" s="92">
        <v>4722</v>
      </c>
      <c r="L29" s="92">
        <v>68081</v>
      </c>
      <c r="M29" s="92">
        <v>35011</v>
      </c>
      <c r="N29" s="92">
        <v>38319</v>
      </c>
      <c r="O29" s="92">
        <v>26441</v>
      </c>
      <c r="P29" s="92">
        <v>1025</v>
      </c>
      <c r="Q29" s="92">
        <v>0</v>
      </c>
      <c r="R29" s="92">
        <v>1988</v>
      </c>
      <c r="S29" s="92">
        <v>0</v>
      </c>
      <c r="T29" s="92">
        <v>0</v>
      </c>
      <c r="U29" s="92">
        <v>734</v>
      </c>
      <c r="V29" s="27">
        <v>6458</v>
      </c>
      <c r="W29" s="39"/>
    </row>
    <row r="30" spans="1:23" ht="11.25" customHeight="1">
      <c r="A30" s="161"/>
      <c r="B30" s="170"/>
      <c r="C30" s="133"/>
      <c r="D30" s="95" t="s">
        <v>69</v>
      </c>
      <c r="E30" s="92">
        <v>3962</v>
      </c>
      <c r="F30" s="92">
        <v>53372</v>
      </c>
      <c r="G30" s="92">
        <v>69882</v>
      </c>
      <c r="H30" s="92">
        <v>51634</v>
      </c>
      <c r="I30" s="92">
        <v>553</v>
      </c>
      <c r="J30" s="92">
        <v>501</v>
      </c>
      <c r="K30" s="92">
        <v>3943</v>
      </c>
      <c r="L30" s="92">
        <v>63528</v>
      </c>
      <c r="M30" s="92">
        <v>33756</v>
      </c>
      <c r="N30" s="92">
        <v>36596</v>
      </c>
      <c r="O30" s="92">
        <v>25955</v>
      </c>
      <c r="P30" s="92">
        <v>998</v>
      </c>
      <c r="Q30" s="92">
        <v>0</v>
      </c>
      <c r="R30" s="92">
        <v>1847</v>
      </c>
      <c r="S30" s="92">
        <v>0</v>
      </c>
      <c r="T30" s="92">
        <v>0</v>
      </c>
      <c r="U30" s="92">
        <v>672</v>
      </c>
      <c r="V30" s="27">
        <v>6342</v>
      </c>
      <c r="W30" s="39"/>
    </row>
    <row r="31" spans="1:23" ht="11.25" customHeight="1">
      <c r="A31" s="161"/>
      <c r="B31" s="171"/>
      <c r="C31" s="134"/>
      <c r="D31" s="96" t="s">
        <v>73</v>
      </c>
      <c r="E31" s="77">
        <v>247</v>
      </c>
      <c r="F31" s="77">
        <v>1519</v>
      </c>
      <c r="G31" s="77">
        <v>3318</v>
      </c>
      <c r="H31" s="77">
        <v>1362</v>
      </c>
      <c r="I31" s="77">
        <v>64</v>
      </c>
      <c r="J31" s="77">
        <v>17</v>
      </c>
      <c r="K31" s="77">
        <v>779</v>
      </c>
      <c r="L31" s="77">
        <v>4553</v>
      </c>
      <c r="M31" s="77">
        <v>1255</v>
      </c>
      <c r="N31" s="77">
        <v>1723</v>
      </c>
      <c r="O31" s="77">
        <v>486</v>
      </c>
      <c r="P31" s="77">
        <v>27</v>
      </c>
      <c r="Q31" s="77">
        <v>0</v>
      </c>
      <c r="R31" s="77">
        <v>141</v>
      </c>
      <c r="S31" s="77">
        <v>0</v>
      </c>
      <c r="T31" s="77">
        <v>0</v>
      </c>
      <c r="U31" s="77">
        <v>62</v>
      </c>
      <c r="V31" s="97">
        <v>116</v>
      </c>
      <c r="W31" s="39"/>
    </row>
    <row r="32" spans="1:23" ht="11.25" customHeight="1">
      <c r="A32" s="161"/>
      <c r="B32" s="172" t="s">
        <v>130</v>
      </c>
      <c r="C32" s="158" t="s">
        <v>128</v>
      </c>
      <c r="D32" s="159"/>
      <c r="E32" s="92">
        <v>12</v>
      </c>
      <c r="F32" s="92">
        <v>136</v>
      </c>
      <c r="G32" s="92">
        <v>340</v>
      </c>
      <c r="H32" s="92">
        <v>250</v>
      </c>
      <c r="I32" s="92">
        <v>1</v>
      </c>
      <c r="J32" s="92">
        <v>0</v>
      </c>
      <c r="K32" s="92">
        <v>9</v>
      </c>
      <c r="L32" s="92">
        <v>525</v>
      </c>
      <c r="M32" s="92">
        <v>630</v>
      </c>
      <c r="N32" s="92">
        <v>196</v>
      </c>
      <c r="O32" s="92">
        <v>238</v>
      </c>
      <c r="P32" s="92">
        <v>3</v>
      </c>
      <c r="Q32" s="92">
        <v>0</v>
      </c>
      <c r="R32" s="92">
        <v>6</v>
      </c>
      <c r="S32" s="92">
        <v>0</v>
      </c>
      <c r="T32" s="92">
        <v>0</v>
      </c>
      <c r="U32" s="92">
        <v>0</v>
      </c>
      <c r="V32" s="27">
        <v>16</v>
      </c>
      <c r="W32" s="39"/>
    </row>
    <row r="33" spans="1:23" ht="11.25" customHeight="1">
      <c r="A33" s="161"/>
      <c r="B33" s="170"/>
      <c r="C33" s="160" t="s">
        <v>129</v>
      </c>
      <c r="D33" s="161"/>
      <c r="E33" s="92">
        <v>2298</v>
      </c>
      <c r="F33" s="92">
        <v>41685</v>
      </c>
      <c r="G33" s="92">
        <v>6029</v>
      </c>
      <c r="H33" s="92">
        <v>13686</v>
      </c>
      <c r="I33" s="92">
        <v>4</v>
      </c>
      <c r="J33" s="92">
        <v>0</v>
      </c>
      <c r="K33" s="92">
        <v>132</v>
      </c>
      <c r="L33" s="92">
        <v>11628</v>
      </c>
      <c r="M33" s="92">
        <v>19022</v>
      </c>
      <c r="N33" s="92">
        <v>6474</v>
      </c>
      <c r="O33" s="92">
        <v>12342</v>
      </c>
      <c r="P33" s="92">
        <v>59</v>
      </c>
      <c r="Q33" s="92">
        <v>0</v>
      </c>
      <c r="R33" s="92">
        <v>141</v>
      </c>
      <c r="S33" s="92">
        <v>0</v>
      </c>
      <c r="T33" s="92">
        <v>0</v>
      </c>
      <c r="U33" s="92">
        <v>0</v>
      </c>
      <c r="V33" s="27">
        <v>304</v>
      </c>
      <c r="W33" s="39"/>
    </row>
    <row r="34" spans="1:23" ht="11.25" customHeight="1">
      <c r="A34" s="161"/>
      <c r="B34" s="170"/>
      <c r="C34" s="133"/>
      <c r="D34" s="95" t="s">
        <v>69</v>
      </c>
      <c r="E34" s="92">
        <v>2188</v>
      </c>
      <c r="F34" s="92">
        <v>40361</v>
      </c>
      <c r="G34" s="92">
        <v>5805</v>
      </c>
      <c r="H34" s="92">
        <v>13344</v>
      </c>
      <c r="I34" s="92">
        <v>4</v>
      </c>
      <c r="J34" s="92">
        <v>0</v>
      </c>
      <c r="K34" s="92">
        <v>123</v>
      </c>
      <c r="L34" s="92">
        <v>11142</v>
      </c>
      <c r="M34" s="92">
        <v>18435</v>
      </c>
      <c r="N34" s="92">
        <v>6326</v>
      </c>
      <c r="O34" s="92">
        <v>12160</v>
      </c>
      <c r="P34" s="92">
        <v>53</v>
      </c>
      <c r="Q34" s="92">
        <v>0</v>
      </c>
      <c r="R34" s="92">
        <v>131</v>
      </c>
      <c r="S34" s="92">
        <v>0</v>
      </c>
      <c r="T34" s="92">
        <v>0</v>
      </c>
      <c r="U34" s="92">
        <v>0</v>
      </c>
      <c r="V34" s="27">
        <v>293</v>
      </c>
      <c r="W34" s="39"/>
    </row>
    <row r="35" spans="1:23" ht="11.25" customHeight="1">
      <c r="A35" s="161"/>
      <c r="B35" s="171"/>
      <c r="C35" s="134"/>
      <c r="D35" s="96" t="s">
        <v>73</v>
      </c>
      <c r="E35" s="77">
        <v>110</v>
      </c>
      <c r="F35" s="77">
        <v>1324</v>
      </c>
      <c r="G35" s="77">
        <v>224</v>
      </c>
      <c r="H35" s="77">
        <v>342</v>
      </c>
      <c r="I35" s="77">
        <v>0</v>
      </c>
      <c r="J35" s="77">
        <v>0</v>
      </c>
      <c r="K35" s="77">
        <v>9</v>
      </c>
      <c r="L35" s="77">
        <v>486</v>
      </c>
      <c r="M35" s="77">
        <v>587</v>
      </c>
      <c r="N35" s="77">
        <v>148</v>
      </c>
      <c r="O35" s="77">
        <v>182</v>
      </c>
      <c r="P35" s="77">
        <v>6</v>
      </c>
      <c r="Q35" s="77">
        <v>0</v>
      </c>
      <c r="R35" s="77">
        <v>10</v>
      </c>
      <c r="S35" s="77">
        <v>0</v>
      </c>
      <c r="T35" s="77">
        <v>0</v>
      </c>
      <c r="U35" s="77">
        <v>0</v>
      </c>
      <c r="V35" s="97">
        <v>11</v>
      </c>
      <c r="W35" s="39"/>
    </row>
    <row r="36" spans="1:23" ht="11.25" customHeight="1">
      <c r="A36" s="197" t="s">
        <v>71</v>
      </c>
      <c r="B36" s="199" t="s">
        <v>183</v>
      </c>
      <c r="C36" s="158" t="s">
        <v>128</v>
      </c>
      <c r="D36" s="159"/>
      <c r="E36" s="92">
        <v>0</v>
      </c>
      <c r="F36" s="92">
        <v>0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0</v>
      </c>
      <c r="M36" s="92">
        <v>0</v>
      </c>
      <c r="N36" s="92">
        <v>0</v>
      </c>
      <c r="O36" s="92">
        <v>0</v>
      </c>
      <c r="P36" s="92">
        <v>0</v>
      </c>
      <c r="Q36" s="92">
        <v>0</v>
      </c>
      <c r="R36" s="92">
        <v>0</v>
      </c>
      <c r="S36" s="92">
        <v>0</v>
      </c>
      <c r="T36" s="92">
        <v>0</v>
      </c>
      <c r="U36" s="92">
        <v>0</v>
      </c>
      <c r="V36" s="27" t="s">
        <v>140</v>
      </c>
      <c r="W36" s="39"/>
    </row>
    <row r="37" spans="1:23" ht="11.25" customHeight="1">
      <c r="A37" s="197"/>
      <c r="B37" s="197"/>
      <c r="C37" s="160" t="s">
        <v>129</v>
      </c>
      <c r="D37" s="161"/>
      <c r="E37" s="92">
        <v>0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0</v>
      </c>
      <c r="M37" s="92">
        <v>0</v>
      </c>
      <c r="N37" s="92">
        <v>0</v>
      </c>
      <c r="O37" s="92">
        <v>0</v>
      </c>
      <c r="P37" s="92">
        <v>0</v>
      </c>
      <c r="Q37" s="92">
        <v>0</v>
      </c>
      <c r="R37" s="92">
        <v>0</v>
      </c>
      <c r="S37" s="92">
        <v>0</v>
      </c>
      <c r="T37" s="92">
        <v>0</v>
      </c>
      <c r="U37" s="92">
        <v>0</v>
      </c>
      <c r="V37" s="27">
        <v>0</v>
      </c>
      <c r="W37" s="39"/>
    </row>
    <row r="38" spans="1:23" ht="11.25" customHeight="1">
      <c r="A38" s="197"/>
      <c r="B38" s="197"/>
      <c r="C38" s="133"/>
      <c r="D38" s="95" t="s">
        <v>69</v>
      </c>
      <c r="E38" s="92">
        <v>0</v>
      </c>
      <c r="F38" s="92">
        <v>0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92">
        <v>0</v>
      </c>
      <c r="M38" s="92">
        <v>0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92">
        <v>0</v>
      </c>
      <c r="U38" s="92">
        <v>0</v>
      </c>
      <c r="V38" s="27">
        <v>0</v>
      </c>
      <c r="W38" s="39"/>
    </row>
    <row r="39" spans="1:23" ht="11.25" customHeight="1">
      <c r="A39" s="198"/>
      <c r="B39" s="198"/>
      <c r="C39" s="134"/>
      <c r="D39" s="102" t="s">
        <v>73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97">
        <v>0</v>
      </c>
      <c r="W39" s="39"/>
    </row>
    <row r="40" spans="1:23" ht="11.25" customHeight="1">
      <c r="A40" s="199" t="s">
        <v>195</v>
      </c>
      <c r="B40" s="131" t="s">
        <v>125</v>
      </c>
      <c r="C40" s="200" t="s">
        <v>181</v>
      </c>
      <c r="D40" s="201"/>
      <c r="E40" s="92">
        <v>27</v>
      </c>
      <c r="F40" s="92">
        <v>133</v>
      </c>
      <c r="G40" s="92">
        <v>728</v>
      </c>
      <c r="H40" s="92">
        <v>227</v>
      </c>
      <c r="I40" s="92">
        <v>67</v>
      </c>
      <c r="J40" s="92">
        <v>5</v>
      </c>
      <c r="K40" s="92">
        <v>53</v>
      </c>
      <c r="L40" s="92">
        <v>923</v>
      </c>
      <c r="M40" s="92">
        <v>504</v>
      </c>
      <c r="N40" s="92">
        <v>218</v>
      </c>
      <c r="O40" s="92">
        <v>175</v>
      </c>
      <c r="P40" s="92">
        <v>10</v>
      </c>
      <c r="Q40" s="92">
        <v>4</v>
      </c>
      <c r="R40" s="92">
        <v>31</v>
      </c>
      <c r="S40" s="92">
        <v>0</v>
      </c>
      <c r="T40" s="92">
        <v>0</v>
      </c>
      <c r="U40" s="92">
        <v>32</v>
      </c>
      <c r="V40" s="27">
        <v>15</v>
      </c>
      <c r="W40" s="39"/>
    </row>
    <row r="41" spans="1:23" ht="11.25" customHeight="1">
      <c r="A41" s="197"/>
      <c r="B41" s="93" t="s">
        <v>126</v>
      </c>
      <c r="C41" s="202" t="s">
        <v>182</v>
      </c>
      <c r="D41" s="203"/>
      <c r="E41" s="92">
        <v>5820</v>
      </c>
      <c r="F41" s="92">
        <v>60694</v>
      </c>
      <c r="G41" s="92">
        <v>59208</v>
      </c>
      <c r="H41" s="92">
        <v>61531</v>
      </c>
      <c r="I41" s="92">
        <v>397</v>
      </c>
      <c r="J41" s="92">
        <v>434</v>
      </c>
      <c r="K41" s="92">
        <v>1692</v>
      </c>
      <c r="L41" s="92">
        <v>49019</v>
      </c>
      <c r="M41" s="92">
        <v>40822</v>
      </c>
      <c r="N41" s="92">
        <v>33429</v>
      </c>
      <c r="O41" s="92">
        <v>23575</v>
      </c>
      <c r="P41" s="77">
        <v>1502</v>
      </c>
      <c r="Q41" s="92">
        <v>628</v>
      </c>
      <c r="R41" s="77">
        <v>1481</v>
      </c>
      <c r="S41" s="77">
        <v>0</v>
      </c>
      <c r="T41" s="77" t="s">
        <v>131</v>
      </c>
      <c r="U41" s="92">
        <v>312</v>
      </c>
      <c r="V41" s="27">
        <v>4869</v>
      </c>
      <c r="W41" s="39"/>
    </row>
    <row r="42" spans="1:23" ht="11.25" customHeight="1">
      <c r="A42" s="161" t="s">
        <v>200</v>
      </c>
      <c r="B42" s="172" t="s">
        <v>127</v>
      </c>
      <c r="C42" s="158" t="s">
        <v>128</v>
      </c>
      <c r="D42" s="159"/>
      <c r="E42" s="75">
        <v>16</v>
      </c>
      <c r="F42" s="75">
        <v>61</v>
      </c>
      <c r="G42" s="75">
        <v>497</v>
      </c>
      <c r="H42" s="75">
        <v>122</v>
      </c>
      <c r="I42" s="75">
        <v>64</v>
      </c>
      <c r="J42" s="75">
        <v>5</v>
      </c>
      <c r="K42" s="75">
        <v>52</v>
      </c>
      <c r="L42" s="75">
        <v>590</v>
      </c>
      <c r="M42" s="75">
        <v>119</v>
      </c>
      <c r="N42" s="75">
        <v>94</v>
      </c>
      <c r="O42" s="75">
        <v>25</v>
      </c>
      <c r="P42" s="92">
        <v>7</v>
      </c>
      <c r="Q42" s="75">
        <v>1</v>
      </c>
      <c r="R42" s="92">
        <v>19</v>
      </c>
      <c r="S42" s="92">
        <v>0</v>
      </c>
      <c r="T42" s="92">
        <v>0</v>
      </c>
      <c r="U42" s="75">
        <v>32</v>
      </c>
      <c r="V42" s="94">
        <v>9</v>
      </c>
      <c r="W42" s="39"/>
    </row>
    <row r="43" spans="1:23" ht="11.25" customHeight="1">
      <c r="A43" s="161"/>
      <c r="B43" s="170"/>
      <c r="C43" s="160" t="s">
        <v>129</v>
      </c>
      <c r="D43" s="161"/>
      <c r="E43" s="92">
        <v>2906</v>
      </c>
      <c r="F43" s="92">
        <v>39771</v>
      </c>
      <c r="G43" s="92">
        <v>53509</v>
      </c>
      <c r="H43" s="92">
        <v>54406</v>
      </c>
      <c r="I43" s="92">
        <v>330</v>
      </c>
      <c r="J43" s="92">
        <v>434</v>
      </c>
      <c r="K43" s="92">
        <v>1670</v>
      </c>
      <c r="L43" s="92">
        <v>42178</v>
      </c>
      <c r="M43" s="92">
        <v>27526</v>
      </c>
      <c r="N43" s="92">
        <v>29669</v>
      </c>
      <c r="O43" s="92">
        <v>16613</v>
      </c>
      <c r="P43" s="92">
        <v>1372</v>
      </c>
      <c r="Q43" s="92">
        <v>174</v>
      </c>
      <c r="R43" s="92">
        <v>831</v>
      </c>
      <c r="S43" s="92">
        <v>0</v>
      </c>
      <c r="T43" s="92">
        <v>0</v>
      </c>
      <c r="U43" s="92">
        <v>312</v>
      </c>
      <c r="V43" s="27">
        <v>4674</v>
      </c>
      <c r="W43" s="39"/>
    </row>
    <row r="44" spans="1:23" ht="11.25" customHeight="1">
      <c r="A44" s="161"/>
      <c r="B44" s="170"/>
      <c r="C44" s="133"/>
      <c r="D44" s="95" t="s">
        <v>69</v>
      </c>
      <c r="E44" s="92">
        <v>2879</v>
      </c>
      <c r="F44" s="92">
        <v>39281</v>
      </c>
      <c r="G44" s="92">
        <v>51297</v>
      </c>
      <c r="H44" s="92">
        <v>52999</v>
      </c>
      <c r="I44" s="92">
        <v>306</v>
      </c>
      <c r="J44" s="92">
        <v>417</v>
      </c>
      <c r="K44" s="92">
        <v>1465</v>
      </c>
      <c r="L44" s="92">
        <v>40415</v>
      </c>
      <c r="M44" s="92">
        <v>26533</v>
      </c>
      <c r="N44" s="92">
        <v>28601</v>
      </c>
      <c r="O44" s="92">
        <v>16316</v>
      </c>
      <c r="P44" s="92">
        <v>1283</v>
      </c>
      <c r="Q44" s="92">
        <v>157</v>
      </c>
      <c r="R44" s="92">
        <v>783</v>
      </c>
      <c r="S44" s="92">
        <v>0</v>
      </c>
      <c r="T44" s="92">
        <v>0</v>
      </c>
      <c r="U44" s="92">
        <v>290</v>
      </c>
      <c r="V44" s="27">
        <v>4452</v>
      </c>
      <c r="W44" s="39"/>
    </row>
    <row r="45" spans="1:23" ht="11.25" customHeight="1">
      <c r="A45" s="161"/>
      <c r="B45" s="171"/>
      <c r="C45" s="134"/>
      <c r="D45" s="96" t="s">
        <v>73</v>
      </c>
      <c r="E45" s="77">
        <v>27</v>
      </c>
      <c r="F45" s="77">
        <v>490</v>
      </c>
      <c r="G45" s="77">
        <v>2212</v>
      </c>
      <c r="H45" s="77">
        <v>1407</v>
      </c>
      <c r="I45" s="77">
        <v>24</v>
      </c>
      <c r="J45" s="77">
        <v>17</v>
      </c>
      <c r="K45" s="77">
        <v>205</v>
      </c>
      <c r="L45" s="77">
        <v>1763</v>
      </c>
      <c r="M45" s="77">
        <v>993</v>
      </c>
      <c r="N45" s="77">
        <v>1068</v>
      </c>
      <c r="O45" s="77">
        <v>297</v>
      </c>
      <c r="P45" s="77">
        <v>89</v>
      </c>
      <c r="Q45" s="77">
        <v>17</v>
      </c>
      <c r="R45" s="77">
        <v>48</v>
      </c>
      <c r="S45" s="77">
        <v>0</v>
      </c>
      <c r="T45" s="77">
        <v>0</v>
      </c>
      <c r="U45" s="77">
        <v>22</v>
      </c>
      <c r="V45" s="97">
        <v>222</v>
      </c>
      <c r="W45" s="39"/>
    </row>
    <row r="46" spans="1:23" ht="11.25" customHeight="1">
      <c r="A46" s="161"/>
      <c r="B46" s="172" t="s">
        <v>130</v>
      </c>
      <c r="C46" s="158" t="s">
        <v>128</v>
      </c>
      <c r="D46" s="159"/>
      <c r="E46" s="92">
        <v>11</v>
      </c>
      <c r="F46" s="92">
        <v>72</v>
      </c>
      <c r="G46" s="92">
        <v>231</v>
      </c>
      <c r="H46" s="92">
        <v>105</v>
      </c>
      <c r="I46" s="92">
        <v>3</v>
      </c>
      <c r="J46" s="92">
        <v>0</v>
      </c>
      <c r="K46" s="92">
        <v>1</v>
      </c>
      <c r="L46" s="92">
        <v>333</v>
      </c>
      <c r="M46" s="92">
        <v>385</v>
      </c>
      <c r="N46" s="92">
        <v>124</v>
      </c>
      <c r="O46" s="92">
        <v>150</v>
      </c>
      <c r="P46" s="92">
        <v>3</v>
      </c>
      <c r="Q46" s="92">
        <v>3</v>
      </c>
      <c r="R46" s="92">
        <v>12</v>
      </c>
      <c r="S46" s="92">
        <v>0</v>
      </c>
      <c r="T46" s="92">
        <v>0</v>
      </c>
      <c r="U46" s="92">
        <v>1</v>
      </c>
      <c r="V46" s="27">
        <v>6</v>
      </c>
      <c r="W46" s="39"/>
    </row>
    <row r="47" spans="1:23" ht="11.25" customHeight="1">
      <c r="A47" s="161"/>
      <c r="B47" s="170"/>
      <c r="C47" s="160" t="s">
        <v>129</v>
      </c>
      <c r="D47" s="161"/>
      <c r="E47" s="92">
        <v>2914</v>
      </c>
      <c r="F47" s="92">
        <v>20923</v>
      </c>
      <c r="G47" s="92">
        <v>5699</v>
      </c>
      <c r="H47" s="92">
        <v>7125</v>
      </c>
      <c r="I47" s="92">
        <v>67</v>
      </c>
      <c r="J47" s="92">
        <v>0</v>
      </c>
      <c r="K47" s="92">
        <v>22</v>
      </c>
      <c r="L47" s="92">
        <v>6841</v>
      </c>
      <c r="M47" s="92">
        <v>13296</v>
      </c>
      <c r="N47" s="92">
        <v>3760</v>
      </c>
      <c r="O47" s="92">
        <v>6962</v>
      </c>
      <c r="P47" s="92">
        <v>130</v>
      </c>
      <c r="Q47" s="92">
        <v>454</v>
      </c>
      <c r="R47" s="92">
        <v>655</v>
      </c>
      <c r="S47" s="92">
        <v>0</v>
      </c>
      <c r="T47" s="92">
        <v>0</v>
      </c>
      <c r="U47" s="92">
        <v>3</v>
      </c>
      <c r="V47" s="27">
        <v>195</v>
      </c>
      <c r="W47" s="39"/>
    </row>
    <row r="48" spans="1:23" ht="11.25" customHeight="1">
      <c r="A48" s="161"/>
      <c r="B48" s="170"/>
      <c r="C48" s="133"/>
      <c r="D48" s="95" t="s">
        <v>69</v>
      </c>
      <c r="E48" s="92">
        <v>2873</v>
      </c>
      <c r="F48" s="92">
        <v>20168</v>
      </c>
      <c r="G48" s="92">
        <v>5522</v>
      </c>
      <c r="H48" s="92">
        <v>6929</v>
      </c>
      <c r="I48" s="92">
        <v>57</v>
      </c>
      <c r="J48" s="92">
        <v>0</v>
      </c>
      <c r="K48" s="92">
        <v>20</v>
      </c>
      <c r="L48" s="92">
        <v>6547</v>
      </c>
      <c r="M48" s="92">
        <v>12949</v>
      </c>
      <c r="N48" s="92">
        <v>3679</v>
      </c>
      <c r="O48" s="92">
        <v>6887</v>
      </c>
      <c r="P48" s="92">
        <v>120</v>
      </c>
      <c r="Q48" s="92">
        <v>450</v>
      </c>
      <c r="R48" s="92">
        <v>634</v>
      </c>
      <c r="S48" s="92">
        <v>0</v>
      </c>
      <c r="T48" s="92">
        <v>0</v>
      </c>
      <c r="U48" s="92">
        <v>3</v>
      </c>
      <c r="V48" s="27">
        <v>156</v>
      </c>
      <c r="W48" s="39"/>
    </row>
    <row r="49" spans="1:23" ht="11.25" customHeight="1">
      <c r="A49" s="161"/>
      <c r="B49" s="171"/>
      <c r="C49" s="134"/>
      <c r="D49" s="96" t="s">
        <v>73</v>
      </c>
      <c r="E49" s="77">
        <v>41</v>
      </c>
      <c r="F49" s="77">
        <v>755</v>
      </c>
      <c r="G49" s="77">
        <v>177</v>
      </c>
      <c r="H49" s="77">
        <v>196</v>
      </c>
      <c r="I49" s="77">
        <v>10</v>
      </c>
      <c r="J49" s="77">
        <v>0</v>
      </c>
      <c r="K49" s="77">
        <v>2</v>
      </c>
      <c r="L49" s="77">
        <v>294</v>
      </c>
      <c r="M49" s="77">
        <v>347</v>
      </c>
      <c r="N49" s="77">
        <v>81</v>
      </c>
      <c r="O49" s="77">
        <v>75</v>
      </c>
      <c r="P49" s="77">
        <v>10</v>
      </c>
      <c r="Q49" s="77">
        <v>4</v>
      </c>
      <c r="R49" s="77">
        <v>21</v>
      </c>
      <c r="S49" s="77">
        <v>0</v>
      </c>
      <c r="T49" s="77">
        <v>0</v>
      </c>
      <c r="U49" s="77">
        <v>0</v>
      </c>
      <c r="V49" s="97">
        <v>39</v>
      </c>
      <c r="W49" s="39"/>
    </row>
    <row r="50" spans="1:23" ht="11.25" customHeight="1">
      <c r="A50" s="197" t="s">
        <v>71</v>
      </c>
      <c r="B50" s="199" t="s">
        <v>183</v>
      </c>
      <c r="C50" s="158" t="s">
        <v>128</v>
      </c>
      <c r="D50" s="159"/>
      <c r="E50" s="92">
        <v>0</v>
      </c>
      <c r="F50" s="92">
        <v>0</v>
      </c>
      <c r="G50" s="92">
        <v>0</v>
      </c>
      <c r="H50" s="92">
        <v>0</v>
      </c>
      <c r="I50" s="92">
        <v>0</v>
      </c>
      <c r="J50" s="92">
        <v>0</v>
      </c>
      <c r="K50" s="92">
        <v>0</v>
      </c>
      <c r="L50" s="92">
        <v>0</v>
      </c>
      <c r="M50" s="92">
        <v>0</v>
      </c>
      <c r="N50" s="92">
        <v>0</v>
      </c>
      <c r="O50" s="92">
        <v>0</v>
      </c>
      <c r="P50" s="92">
        <v>0</v>
      </c>
      <c r="Q50" s="92">
        <v>0</v>
      </c>
      <c r="R50" s="92">
        <v>0</v>
      </c>
      <c r="S50" s="92">
        <v>0</v>
      </c>
      <c r="T50" s="92">
        <v>0</v>
      </c>
      <c r="U50" s="92">
        <v>0</v>
      </c>
      <c r="V50" s="27" t="s">
        <v>140</v>
      </c>
      <c r="W50" s="39"/>
    </row>
    <row r="51" spans="1:23" ht="11.25" customHeight="1">
      <c r="A51" s="197"/>
      <c r="B51" s="197"/>
      <c r="C51" s="160" t="s">
        <v>129</v>
      </c>
      <c r="D51" s="161"/>
      <c r="E51" s="92">
        <v>0</v>
      </c>
      <c r="F51" s="92">
        <v>0</v>
      </c>
      <c r="G51" s="92">
        <v>0</v>
      </c>
      <c r="H51" s="92">
        <v>0</v>
      </c>
      <c r="I51" s="92">
        <v>0</v>
      </c>
      <c r="J51" s="92">
        <v>0</v>
      </c>
      <c r="K51" s="92">
        <v>0</v>
      </c>
      <c r="L51" s="92">
        <v>0</v>
      </c>
      <c r="M51" s="92">
        <v>0</v>
      </c>
      <c r="N51" s="92">
        <v>0</v>
      </c>
      <c r="O51" s="92">
        <v>0</v>
      </c>
      <c r="P51" s="92">
        <v>0</v>
      </c>
      <c r="Q51" s="92">
        <v>0</v>
      </c>
      <c r="R51" s="92">
        <v>0</v>
      </c>
      <c r="S51" s="92">
        <v>0</v>
      </c>
      <c r="T51" s="92">
        <v>0</v>
      </c>
      <c r="U51" s="92">
        <v>0</v>
      </c>
      <c r="V51" s="27">
        <v>0</v>
      </c>
      <c r="W51" s="39"/>
    </row>
    <row r="52" spans="1:23" ht="11.25" customHeight="1">
      <c r="A52" s="197"/>
      <c r="B52" s="197"/>
      <c r="C52" s="133"/>
      <c r="D52" s="95" t="s">
        <v>69</v>
      </c>
      <c r="E52" s="92">
        <v>0</v>
      </c>
      <c r="F52" s="92">
        <v>0</v>
      </c>
      <c r="G52" s="92">
        <v>0</v>
      </c>
      <c r="H52" s="92">
        <v>0</v>
      </c>
      <c r="I52" s="92">
        <v>0</v>
      </c>
      <c r="J52" s="92">
        <v>0</v>
      </c>
      <c r="K52" s="92">
        <v>0</v>
      </c>
      <c r="L52" s="92">
        <v>0</v>
      </c>
      <c r="M52" s="92">
        <v>0</v>
      </c>
      <c r="N52" s="92">
        <v>0</v>
      </c>
      <c r="O52" s="92">
        <v>0</v>
      </c>
      <c r="P52" s="92">
        <v>0</v>
      </c>
      <c r="Q52" s="92">
        <v>0</v>
      </c>
      <c r="R52" s="92">
        <v>0</v>
      </c>
      <c r="S52" s="92">
        <v>0</v>
      </c>
      <c r="T52" s="92">
        <v>0</v>
      </c>
      <c r="U52" s="92">
        <v>0</v>
      </c>
      <c r="V52" s="27">
        <v>0</v>
      </c>
      <c r="W52" s="39"/>
    </row>
    <row r="53" spans="1:23" ht="11.25" customHeight="1">
      <c r="A53" s="198"/>
      <c r="B53" s="198"/>
      <c r="C53" s="134"/>
      <c r="D53" s="102" t="s">
        <v>73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J53" s="77">
        <v>0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97">
        <v>0</v>
      </c>
      <c r="W53" s="39"/>
    </row>
    <row r="54" spans="1:23" ht="11.25" customHeight="1">
      <c r="A54" s="199" t="s">
        <v>195</v>
      </c>
      <c r="B54" s="131" t="s">
        <v>125</v>
      </c>
      <c r="C54" s="200" t="s">
        <v>181</v>
      </c>
      <c r="D54" s="201"/>
      <c r="E54" s="92">
        <f>E56+E60</f>
        <v>8</v>
      </c>
      <c r="F54" s="92">
        <f t="shared" ref="F54:V55" si="0">F56+F60</f>
        <v>130</v>
      </c>
      <c r="G54" s="92">
        <f t="shared" si="0"/>
        <v>726</v>
      </c>
      <c r="H54" s="92">
        <f t="shared" si="0"/>
        <v>253</v>
      </c>
      <c r="I54" s="92">
        <f t="shared" si="0"/>
        <v>47</v>
      </c>
      <c r="J54" s="92">
        <f t="shared" si="0"/>
        <v>3</v>
      </c>
      <c r="K54" s="92">
        <f t="shared" si="0"/>
        <v>72</v>
      </c>
      <c r="L54" s="92">
        <f t="shared" si="0"/>
        <v>981</v>
      </c>
      <c r="M54" s="92">
        <f t="shared" si="0"/>
        <v>461</v>
      </c>
      <c r="N54" s="92">
        <f t="shared" si="0"/>
        <v>222</v>
      </c>
      <c r="O54" s="92">
        <f t="shared" si="0"/>
        <v>155</v>
      </c>
      <c r="P54" s="92">
        <f t="shared" si="0"/>
        <v>8</v>
      </c>
      <c r="Q54" s="92">
        <f t="shared" si="0"/>
        <v>2</v>
      </c>
      <c r="R54" s="92">
        <f t="shared" si="0"/>
        <v>32</v>
      </c>
      <c r="S54" s="92">
        <f t="shared" si="0"/>
        <v>0</v>
      </c>
      <c r="T54" s="92">
        <f t="shared" si="0"/>
        <v>0</v>
      </c>
      <c r="U54" s="92">
        <f t="shared" si="0"/>
        <v>30</v>
      </c>
      <c r="V54" s="94">
        <f t="shared" si="0"/>
        <v>20</v>
      </c>
      <c r="W54" s="39"/>
    </row>
    <row r="55" spans="1:23" ht="11.25" customHeight="1">
      <c r="A55" s="197"/>
      <c r="B55" s="93" t="s">
        <v>126</v>
      </c>
      <c r="C55" s="202" t="s">
        <v>182</v>
      </c>
      <c r="D55" s="203"/>
      <c r="E55" s="92">
        <f>E57+E61</f>
        <v>3539</v>
      </c>
      <c r="F55" s="92">
        <f t="shared" si="0"/>
        <v>48500</v>
      </c>
      <c r="G55" s="92">
        <f t="shared" si="0"/>
        <v>54814</v>
      </c>
      <c r="H55" s="92">
        <f t="shared" si="0"/>
        <v>49898</v>
      </c>
      <c r="I55" s="92">
        <f t="shared" si="0"/>
        <v>235</v>
      </c>
      <c r="J55" s="92">
        <f t="shared" si="0"/>
        <v>263</v>
      </c>
      <c r="K55" s="92">
        <f t="shared" si="0"/>
        <v>2369</v>
      </c>
      <c r="L55" s="92">
        <f t="shared" si="0"/>
        <v>57183</v>
      </c>
      <c r="M55" s="92">
        <f t="shared" si="0"/>
        <v>36758</v>
      </c>
      <c r="N55" s="92">
        <f t="shared" si="0"/>
        <v>37386</v>
      </c>
      <c r="O55" s="92">
        <f t="shared" si="0"/>
        <v>20530</v>
      </c>
      <c r="P55" s="92">
        <f t="shared" si="0"/>
        <v>413</v>
      </c>
      <c r="Q55" s="92">
        <f t="shared" si="0"/>
        <v>357</v>
      </c>
      <c r="R55" s="92">
        <f t="shared" si="0"/>
        <v>1225</v>
      </c>
      <c r="S55" s="92">
        <f t="shared" si="0"/>
        <v>0</v>
      </c>
      <c r="T55" s="92">
        <f t="shared" si="0"/>
        <v>0</v>
      </c>
      <c r="U55" s="92">
        <f t="shared" si="0"/>
        <v>296</v>
      </c>
      <c r="V55" s="27">
        <f t="shared" si="0"/>
        <v>8793</v>
      </c>
      <c r="W55" s="39"/>
    </row>
    <row r="56" spans="1:23" ht="11.25" customHeight="1">
      <c r="A56" s="161">
        <v>2</v>
      </c>
      <c r="B56" s="172" t="s">
        <v>127</v>
      </c>
      <c r="C56" s="158" t="s">
        <v>128</v>
      </c>
      <c r="D56" s="159"/>
      <c r="E56" s="75">
        <v>6</v>
      </c>
      <c r="F56" s="75">
        <v>56</v>
      </c>
      <c r="G56" s="75">
        <v>506</v>
      </c>
      <c r="H56" s="75">
        <v>104</v>
      </c>
      <c r="I56" s="75">
        <v>47</v>
      </c>
      <c r="J56" s="75">
        <v>3</v>
      </c>
      <c r="K56" s="75">
        <v>64</v>
      </c>
      <c r="L56" s="75">
        <v>699</v>
      </c>
      <c r="M56" s="75">
        <v>117</v>
      </c>
      <c r="N56" s="75">
        <v>95</v>
      </c>
      <c r="O56" s="75">
        <v>18</v>
      </c>
      <c r="P56" s="75">
        <v>4</v>
      </c>
      <c r="Q56" s="75">
        <v>2</v>
      </c>
      <c r="R56" s="75">
        <v>27</v>
      </c>
      <c r="S56" s="75">
        <v>0</v>
      </c>
      <c r="T56" s="75">
        <v>0</v>
      </c>
      <c r="U56" s="75">
        <v>30</v>
      </c>
      <c r="V56" s="94">
        <v>13</v>
      </c>
      <c r="W56" s="39"/>
    </row>
    <row r="57" spans="1:23" ht="11.25" customHeight="1">
      <c r="A57" s="161"/>
      <c r="B57" s="170"/>
      <c r="C57" s="160" t="s">
        <v>129</v>
      </c>
      <c r="D57" s="161"/>
      <c r="E57" s="92">
        <f>E58+E59</f>
        <v>1849</v>
      </c>
      <c r="F57" s="92">
        <f t="shared" ref="F57:V57" si="1">F58+F59</f>
        <v>28856</v>
      </c>
      <c r="G57" s="92">
        <f t="shared" si="1"/>
        <v>49204</v>
      </c>
      <c r="H57" s="92">
        <f t="shared" si="1"/>
        <v>43474</v>
      </c>
      <c r="I57" s="92">
        <f t="shared" si="1"/>
        <v>235</v>
      </c>
      <c r="J57" s="92">
        <f t="shared" si="1"/>
        <v>263</v>
      </c>
      <c r="K57" s="92">
        <f t="shared" si="1"/>
        <v>2171</v>
      </c>
      <c r="L57" s="92">
        <f t="shared" si="1"/>
        <v>51367</v>
      </c>
      <c r="M57" s="92">
        <f t="shared" si="1"/>
        <v>26200</v>
      </c>
      <c r="N57" s="92">
        <f t="shared" si="1"/>
        <v>33123</v>
      </c>
      <c r="O57" s="92">
        <f t="shared" si="1"/>
        <v>14073</v>
      </c>
      <c r="P57" s="92">
        <f t="shared" si="1"/>
        <v>281</v>
      </c>
      <c r="Q57" s="92">
        <f t="shared" si="1"/>
        <v>357</v>
      </c>
      <c r="R57" s="92">
        <f t="shared" si="1"/>
        <v>1117</v>
      </c>
      <c r="S57" s="92">
        <f t="shared" si="1"/>
        <v>0</v>
      </c>
      <c r="T57" s="92">
        <f t="shared" si="1"/>
        <v>0</v>
      </c>
      <c r="U57" s="92">
        <f t="shared" si="1"/>
        <v>296</v>
      </c>
      <c r="V57" s="27">
        <f t="shared" si="1"/>
        <v>8577</v>
      </c>
      <c r="W57" s="39"/>
    </row>
    <row r="58" spans="1:23" ht="11.25" customHeight="1">
      <c r="A58" s="161"/>
      <c r="B58" s="170"/>
      <c r="C58" s="133"/>
      <c r="D58" s="95" t="s">
        <v>69</v>
      </c>
      <c r="E58" s="92">
        <v>1747</v>
      </c>
      <c r="F58" s="92">
        <v>27995</v>
      </c>
      <c r="G58" s="92">
        <v>46976</v>
      </c>
      <c r="H58" s="92">
        <v>42376</v>
      </c>
      <c r="I58" s="92">
        <v>216</v>
      </c>
      <c r="J58" s="92">
        <v>254</v>
      </c>
      <c r="K58" s="92">
        <v>1805</v>
      </c>
      <c r="L58" s="92">
        <v>48997</v>
      </c>
      <c r="M58" s="92">
        <v>25029</v>
      </c>
      <c r="N58" s="92">
        <v>32043</v>
      </c>
      <c r="O58" s="92">
        <v>13857</v>
      </c>
      <c r="P58" s="92">
        <v>260</v>
      </c>
      <c r="Q58" s="92">
        <v>357</v>
      </c>
      <c r="R58" s="92">
        <v>1031</v>
      </c>
      <c r="S58" s="92">
        <v>0</v>
      </c>
      <c r="T58" s="92">
        <v>0</v>
      </c>
      <c r="U58" s="92">
        <v>280</v>
      </c>
      <c r="V58" s="27">
        <v>8391</v>
      </c>
      <c r="W58" s="39"/>
    </row>
    <row r="59" spans="1:23" ht="11.25" customHeight="1">
      <c r="A59" s="161"/>
      <c r="B59" s="171"/>
      <c r="C59" s="134"/>
      <c r="D59" s="96" t="s">
        <v>73</v>
      </c>
      <c r="E59" s="77">
        <v>102</v>
      </c>
      <c r="F59" s="77">
        <v>861</v>
      </c>
      <c r="G59" s="77">
        <v>2228</v>
      </c>
      <c r="H59" s="77">
        <v>1098</v>
      </c>
      <c r="I59" s="77">
        <v>19</v>
      </c>
      <c r="J59" s="77">
        <v>9</v>
      </c>
      <c r="K59" s="77">
        <v>366</v>
      </c>
      <c r="L59" s="77">
        <v>2370</v>
      </c>
      <c r="M59" s="77">
        <v>1171</v>
      </c>
      <c r="N59" s="77">
        <v>1080</v>
      </c>
      <c r="O59" s="77">
        <v>216</v>
      </c>
      <c r="P59" s="77">
        <v>21</v>
      </c>
      <c r="Q59" s="77">
        <v>0</v>
      </c>
      <c r="R59" s="77">
        <v>86</v>
      </c>
      <c r="S59" s="77">
        <v>0</v>
      </c>
      <c r="T59" s="77">
        <v>0</v>
      </c>
      <c r="U59" s="77">
        <v>16</v>
      </c>
      <c r="V59" s="97">
        <v>186</v>
      </c>
      <c r="W59" s="39"/>
    </row>
    <row r="60" spans="1:23" ht="11.25" customHeight="1">
      <c r="A60" s="161"/>
      <c r="B60" s="172" t="s">
        <v>130</v>
      </c>
      <c r="C60" s="158" t="s">
        <v>128</v>
      </c>
      <c r="D60" s="159"/>
      <c r="E60" s="92">
        <v>2</v>
      </c>
      <c r="F60" s="92">
        <v>74</v>
      </c>
      <c r="G60" s="92">
        <v>220</v>
      </c>
      <c r="H60" s="92">
        <v>149</v>
      </c>
      <c r="I60" s="92">
        <v>0</v>
      </c>
      <c r="J60" s="92">
        <v>0</v>
      </c>
      <c r="K60" s="92">
        <v>8</v>
      </c>
      <c r="L60" s="92">
        <v>282</v>
      </c>
      <c r="M60" s="92">
        <v>344</v>
      </c>
      <c r="N60" s="92">
        <v>127</v>
      </c>
      <c r="O60" s="92">
        <v>137</v>
      </c>
      <c r="P60" s="92">
        <v>4</v>
      </c>
      <c r="Q60" s="92">
        <v>0</v>
      </c>
      <c r="R60" s="92">
        <v>5</v>
      </c>
      <c r="S60" s="92">
        <v>0</v>
      </c>
      <c r="T60" s="92">
        <v>0</v>
      </c>
      <c r="U60" s="92">
        <v>0</v>
      </c>
      <c r="V60" s="27">
        <v>7</v>
      </c>
      <c r="W60" s="39"/>
    </row>
    <row r="61" spans="1:23" ht="11.25" customHeight="1">
      <c r="A61" s="161"/>
      <c r="B61" s="170"/>
      <c r="C61" s="160" t="s">
        <v>129</v>
      </c>
      <c r="D61" s="161"/>
      <c r="E61" s="92">
        <f>E62+E63</f>
        <v>1690</v>
      </c>
      <c r="F61" s="92">
        <f t="shared" ref="F61:V61" si="2">F62+F63</f>
        <v>19644</v>
      </c>
      <c r="G61" s="92">
        <f t="shared" si="2"/>
        <v>5610</v>
      </c>
      <c r="H61" s="92">
        <f t="shared" si="2"/>
        <v>6424</v>
      </c>
      <c r="I61" s="92">
        <f t="shared" si="2"/>
        <v>0</v>
      </c>
      <c r="J61" s="92">
        <f t="shared" si="2"/>
        <v>0</v>
      </c>
      <c r="K61" s="92">
        <f t="shared" si="2"/>
        <v>198</v>
      </c>
      <c r="L61" s="92">
        <f t="shared" si="2"/>
        <v>5816</v>
      </c>
      <c r="M61" s="92">
        <f t="shared" si="2"/>
        <v>10558</v>
      </c>
      <c r="N61" s="92">
        <f t="shared" si="2"/>
        <v>4263</v>
      </c>
      <c r="O61" s="92">
        <f t="shared" si="2"/>
        <v>6457</v>
      </c>
      <c r="P61" s="92">
        <f t="shared" si="2"/>
        <v>132</v>
      </c>
      <c r="Q61" s="92">
        <f t="shared" si="2"/>
        <v>0</v>
      </c>
      <c r="R61" s="92">
        <f t="shared" si="2"/>
        <v>108</v>
      </c>
      <c r="S61" s="92">
        <f t="shared" si="2"/>
        <v>0</v>
      </c>
      <c r="T61" s="92">
        <f t="shared" si="2"/>
        <v>0</v>
      </c>
      <c r="U61" s="92">
        <f t="shared" si="2"/>
        <v>0</v>
      </c>
      <c r="V61" s="27">
        <f t="shared" si="2"/>
        <v>216</v>
      </c>
      <c r="W61" s="39"/>
    </row>
    <row r="62" spans="1:23" ht="11.25" customHeight="1">
      <c r="A62" s="161"/>
      <c r="B62" s="170"/>
      <c r="C62" s="133"/>
      <c r="D62" s="95" t="s">
        <v>69</v>
      </c>
      <c r="E62" s="92">
        <v>1690</v>
      </c>
      <c r="F62" s="92">
        <v>18878</v>
      </c>
      <c r="G62" s="92">
        <v>4919</v>
      </c>
      <c r="H62" s="92">
        <v>6252</v>
      </c>
      <c r="I62" s="92">
        <v>0</v>
      </c>
      <c r="J62" s="92">
        <v>0</v>
      </c>
      <c r="K62" s="92">
        <v>137</v>
      </c>
      <c r="L62" s="92">
        <v>5580</v>
      </c>
      <c r="M62" s="92">
        <v>10172</v>
      </c>
      <c r="N62" s="92">
        <v>4185</v>
      </c>
      <c r="O62" s="92">
        <v>5972</v>
      </c>
      <c r="P62" s="92">
        <v>127</v>
      </c>
      <c r="Q62" s="92">
        <v>0</v>
      </c>
      <c r="R62" s="92">
        <v>103</v>
      </c>
      <c r="S62" s="92">
        <v>0</v>
      </c>
      <c r="T62" s="92">
        <v>0</v>
      </c>
      <c r="U62" s="92">
        <v>0</v>
      </c>
      <c r="V62" s="27">
        <v>210</v>
      </c>
      <c r="W62" s="39"/>
    </row>
    <row r="63" spans="1:23" ht="11.25" customHeight="1">
      <c r="A63" s="161"/>
      <c r="B63" s="171"/>
      <c r="C63" s="134"/>
      <c r="D63" s="96" t="s">
        <v>73</v>
      </c>
      <c r="E63" s="77">
        <v>0</v>
      </c>
      <c r="F63" s="77">
        <v>766</v>
      </c>
      <c r="G63" s="77">
        <v>691</v>
      </c>
      <c r="H63" s="77">
        <v>172</v>
      </c>
      <c r="I63" s="77">
        <v>0</v>
      </c>
      <c r="J63" s="77">
        <v>0</v>
      </c>
      <c r="K63" s="77">
        <v>61</v>
      </c>
      <c r="L63" s="77">
        <v>236</v>
      </c>
      <c r="M63" s="77">
        <v>386</v>
      </c>
      <c r="N63" s="77">
        <v>78</v>
      </c>
      <c r="O63" s="77">
        <v>485</v>
      </c>
      <c r="P63" s="77">
        <v>5</v>
      </c>
      <c r="Q63" s="77">
        <v>0</v>
      </c>
      <c r="R63" s="77">
        <v>5</v>
      </c>
      <c r="S63" s="77">
        <v>0</v>
      </c>
      <c r="T63" s="77">
        <v>0</v>
      </c>
      <c r="U63" s="77">
        <v>0</v>
      </c>
      <c r="V63" s="97">
        <v>6</v>
      </c>
      <c r="W63" s="39"/>
    </row>
    <row r="64" spans="1:23" ht="11.25" customHeight="1">
      <c r="A64" s="197" t="s">
        <v>71</v>
      </c>
      <c r="B64" s="199" t="s">
        <v>183</v>
      </c>
      <c r="C64" s="158" t="s">
        <v>128</v>
      </c>
      <c r="D64" s="159"/>
      <c r="E64" s="92">
        <v>0</v>
      </c>
      <c r="F64" s="92">
        <v>0</v>
      </c>
      <c r="G64" s="92">
        <v>0</v>
      </c>
      <c r="H64" s="92">
        <v>0</v>
      </c>
      <c r="I64" s="92">
        <v>0</v>
      </c>
      <c r="J64" s="92">
        <v>0</v>
      </c>
      <c r="K64" s="92">
        <v>0</v>
      </c>
      <c r="L64" s="92">
        <v>0</v>
      </c>
      <c r="M64" s="92">
        <v>0</v>
      </c>
      <c r="N64" s="92">
        <v>0</v>
      </c>
      <c r="O64" s="92">
        <v>0</v>
      </c>
      <c r="P64" s="92">
        <v>0</v>
      </c>
      <c r="Q64" s="92">
        <v>0</v>
      </c>
      <c r="R64" s="92">
        <v>0</v>
      </c>
      <c r="S64" s="92">
        <v>0</v>
      </c>
      <c r="T64" s="92">
        <v>0</v>
      </c>
      <c r="U64" s="92">
        <v>0</v>
      </c>
      <c r="V64" s="27" t="s">
        <v>140</v>
      </c>
      <c r="W64" s="39"/>
    </row>
    <row r="65" spans="1:23" ht="11.25" customHeight="1">
      <c r="A65" s="197"/>
      <c r="B65" s="197"/>
      <c r="C65" s="160" t="s">
        <v>129</v>
      </c>
      <c r="D65" s="161"/>
      <c r="E65" s="92">
        <v>0</v>
      </c>
      <c r="F65" s="92">
        <v>0</v>
      </c>
      <c r="G65" s="92">
        <v>0</v>
      </c>
      <c r="H65" s="92">
        <v>0</v>
      </c>
      <c r="I65" s="92">
        <v>0</v>
      </c>
      <c r="J65" s="92">
        <v>0</v>
      </c>
      <c r="K65" s="92">
        <v>0</v>
      </c>
      <c r="L65" s="92">
        <v>0</v>
      </c>
      <c r="M65" s="92">
        <v>0</v>
      </c>
      <c r="N65" s="92">
        <v>0</v>
      </c>
      <c r="O65" s="92">
        <v>0</v>
      </c>
      <c r="P65" s="92">
        <v>0</v>
      </c>
      <c r="Q65" s="92">
        <v>0</v>
      </c>
      <c r="R65" s="92">
        <v>0</v>
      </c>
      <c r="S65" s="92">
        <v>0</v>
      </c>
      <c r="T65" s="92">
        <v>0</v>
      </c>
      <c r="U65" s="92">
        <v>0</v>
      </c>
      <c r="V65" s="27">
        <v>0</v>
      </c>
      <c r="W65" s="39"/>
    </row>
    <row r="66" spans="1:23" ht="11.25" customHeight="1">
      <c r="A66" s="197"/>
      <c r="B66" s="197"/>
      <c r="C66" s="133"/>
      <c r="D66" s="95" t="s">
        <v>69</v>
      </c>
      <c r="E66" s="92">
        <v>0</v>
      </c>
      <c r="F66" s="92">
        <v>0</v>
      </c>
      <c r="G66" s="92">
        <v>0</v>
      </c>
      <c r="H66" s="92">
        <v>0</v>
      </c>
      <c r="I66" s="92">
        <v>0</v>
      </c>
      <c r="J66" s="92">
        <v>0</v>
      </c>
      <c r="K66" s="92">
        <v>0</v>
      </c>
      <c r="L66" s="92">
        <v>0</v>
      </c>
      <c r="M66" s="92">
        <v>0</v>
      </c>
      <c r="N66" s="92">
        <v>0</v>
      </c>
      <c r="O66" s="92">
        <v>0</v>
      </c>
      <c r="P66" s="92">
        <v>0</v>
      </c>
      <c r="Q66" s="92">
        <v>0</v>
      </c>
      <c r="R66" s="92">
        <v>0</v>
      </c>
      <c r="S66" s="92">
        <v>0</v>
      </c>
      <c r="T66" s="92">
        <v>0</v>
      </c>
      <c r="U66" s="92">
        <v>0</v>
      </c>
      <c r="V66" s="27">
        <v>0</v>
      </c>
      <c r="W66" s="39"/>
    </row>
    <row r="67" spans="1:23" ht="11.25" customHeight="1">
      <c r="A67" s="198"/>
      <c r="B67" s="198"/>
      <c r="C67" s="134"/>
      <c r="D67" s="102" t="s">
        <v>73</v>
      </c>
      <c r="E67" s="77">
        <v>0</v>
      </c>
      <c r="F67" s="77">
        <v>0</v>
      </c>
      <c r="G67" s="77">
        <v>0</v>
      </c>
      <c r="H67" s="77">
        <v>0</v>
      </c>
      <c r="I67" s="77">
        <v>0</v>
      </c>
      <c r="J67" s="77">
        <v>0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97">
        <v>0</v>
      </c>
      <c r="W67" s="39"/>
    </row>
    <row r="68" spans="1:23" ht="11.25" customHeight="1">
      <c r="A68" s="199" t="s">
        <v>195</v>
      </c>
      <c r="B68" s="131" t="s">
        <v>125</v>
      </c>
      <c r="C68" s="200" t="s">
        <v>181</v>
      </c>
      <c r="D68" s="201"/>
      <c r="E68" s="92">
        <f>E70+E74</f>
        <v>20</v>
      </c>
      <c r="F68" s="92">
        <f t="shared" ref="F68:V69" si="3">F70+F74</f>
        <v>201</v>
      </c>
      <c r="G68" s="92">
        <f t="shared" si="3"/>
        <v>936</v>
      </c>
      <c r="H68" s="92">
        <f t="shared" si="3"/>
        <v>365</v>
      </c>
      <c r="I68" s="92">
        <f t="shared" si="3"/>
        <v>96</v>
      </c>
      <c r="J68" s="92">
        <f t="shared" si="3"/>
        <v>3</v>
      </c>
      <c r="K68" s="92">
        <f t="shared" si="3"/>
        <v>119</v>
      </c>
      <c r="L68" s="92">
        <f t="shared" si="3"/>
        <v>1335</v>
      </c>
      <c r="M68" s="92">
        <f t="shared" si="3"/>
        <v>730</v>
      </c>
      <c r="N68" s="92">
        <f t="shared" si="3"/>
        <v>340</v>
      </c>
      <c r="O68" s="92">
        <f t="shared" si="3"/>
        <v>213</v>
      </c>
      <c r="P68" s="92">
        <f t="shared" si="3"/>
        <v>12</v>
      </c>
      <c r="Q68" s="92">
        <f t="shared" si="3"/>
        <v>1</v>
      </c>
      <c r="R68" s="92">
        <f t="shared" si="3"/>
        <v>53</v>
      </c>
      <c r="S68" s="92">
        <f t="shared" si="3"/>
        <v>1</v>
      </c>
      <c r="T68" s="92">
        <f t="shared" si="3"/>
        <v>0</v>
      </c>
      <c r="U68" s="92">
        <f t="shared" si="3"/>
        <v>40</v>
      </c>
      <c r="V68" s="94">
        <f t="shared" si="3"/>
        <v>7</v>
      </c>
    </row>
    <row r="69" spans="1:23" ht="11.25" customHeight="1">
      <c r="A69" s="197"/>
      <c r="B69" s="93" t="s">
        <v>126</v>
      </c>
      <c r="C69" s="202" t="s">
        <v>182</v>
      </c>
      <c r="D69" s="203"/>
      <c r="E69" s="92">
        <f>E71+E75</f>
        <v>3785</v>
      </c>
      <c r="F69" s="92">
        <f t="shared" si="3"/>
        <v>103506</v>
      </c>
      <c r="G69" s="92">
        <f t="shared" si="3"/>
        <v>66812</v>
      </c>
      <c r="H69" s="92">
        <f t="shared" si="3"/>
        <v>79672</v>
      </c>
      <c r="I69" s="92">
        <f t="shared" si="3"/>
        <v>613</v>
      </c>
      <c r="J69" s="92">
        <f t="shared" si="3"/>
        <v>253</v>
      </c>
      <c r="K69" s="92">
        <f t="shared" si="3"/>
        <v>3726</v>
      </c>
      <c r="L69" s="92">
        <f t="shared" si="3"/>
        <v>81069</v>
      </c>
      <c r="M69" s="92">
        <f t="shared" si="3"/>
        <v>51051</v>
      </c>
      <c r="N69" s="92">
        <f t="shared" si="3"/>
        <v>45977</v>
      </c>
      <c r="O69" s="92">
        <f t="shared" si="3"/>
        <v>32766</v>
      </c>
      <c r="P69" s="92">
        <f t="shared" si="3"/>
        <v>1695</v>
      </c>
      <c r="Q69" s="92">
        <f t="shared" si="3"/>
        <v>222</v>
      </c>
      <c r="R69" s="92">
        <f t="shared" si="3"/>
        <v>2705</v>
      </c>
      <c r="S69" s="92">
        <f t="shared" si="3"/>
        <v>8</v>
      </c>
      <c r="T69" s="92">
        <f t="shared" si="3"/>
        <v>0</v>
      </c>
      <c r="U69" s="92">
        <f t="shared" si="3"/>
        <v>412</v>
      </c>
      <c r="V69" s="27">
        <f t="shared" si="3"/>
        <v>1639</v>
      </c>
    </row>
    <row r="70" spans="1:23" ht="11.25" customHeight="1">
      <c r="A70" s="161">
        <v>3</v>
      </c>
      <c r="B70" s="172" t="s">
        <v>127</v>
      </c>
      <c r="C70" s="158" t="s">
        <v>128</v>
      </c>
      <c r="D70" s="159"/>
      <c r="E70" s="75">
        <v>16</v>
      </c>
      <c r="F70" s="75">
        <v>77</v>
      </c>
      <c r="G70" s="75">
        <v>629</v>
      </c>
      <c r="H70" s="75">
        <v>136</v>
      </c>
      <c r="I70" s="75">
        <v>96</v>
      </c>
      <c r="J70" s="75">
        <v>3</v>
      </c>
      <c r="K70" s="75">
        <v>114</v>
      </c>
      <c r="L70" s="75">
        <v>966</v>
      </c>
      <c r="M70" s="75">
        <v>140</v>
      </c>
      <c r="N70" s="75">
        <v>119</v>
      </c>
      <c r="O70" s="75">
        <v>33</v>
      </c>
      <c r="P70" s="75">
        <v>8</v>
      </c>
      <c r="Q70" s="75">
        <v>1</v>
      </c>
      <c r="R70" s="75">
        <v>42</v>
      </c>
      <c r="S70" s="75">
        <v>1</v>
      </c>
      <c r="T70" s="75">
        <v>0</v>
      </c>
      <c r="U70" s="75">
        <v>40</v>
      </c>
      <c r="V70" s="94">
        <v>2</v>
      </c>
    </row>
    <row r="71" spans="1:23" ht="11.25" customHeight="1">
      <c r="A71" s="161"/>
      <c r="B71" s="170"/>
      <c r="C71" s="160" t="s">
        <v>129</v>
      </c>
      <c r="D71" s="161"/>
      <c r="E71" s="92">
        <f>E72+E73</f>
        <v>2853</v>
      </c>
      <c r="F71" s="92">
        <f t="shared" ref="F71:V71" si="4">F72+F73</f>
        <v>68474</v>
      </c>
      <c r="G71" s="92">
        <f t="shared" si="4"/>
        <v>60344</v>
      </c>
      <c r="H71" s="92">
        <f t="shared" si="4"/>
        <v>64044</v>
      </c>
      <c r="I71" s="92">
        <f t="shared" si="4"/>
        <v>613</v>
      </c>
      <c r="J71" s="92">
        <f t="shared" si="4"/>
        <v>253</v>
      </c>
      <c r="K71" s="92">
        <f t="shared" si="4"/>
        <v>3658</v>
      </c>
      <c r="L71" s="92">
        <f t="shared" si="4"/>
        <v>73485</v>
      </c>
      <c r="M71" s="92">
        <f t="shared" si="4"/>
        <v>31310</v>
      </c>
      <c r="N71" s="92">
        <f t="shared" si="4"/>
        <v>37969</v>
      </c>
      <c r="O71" s="92">
        <f t="shared" si="4"/>
        <v>23151</v>
      </c>
      <c r="P71" s="92">
        <f t="shared" si="4"/>
        <v>1547</v>
      </c>
      <c r="Q71" s="92">
        <f t="shared" si="4"/>
        <v>222</v>
      </c>
      <c r="R71" s="92">
        <f t="shared" si="4"/>
        <v>2319</v>
      </c>
      <c r="S71" s="92">
        <f t="shared" si="4"/>
        <v>8</v>
      </c>
      <c r="T71" s="92">
        <f t="shared" si="4"/>
        <v>0</v>
      </c>
      <c r="U71" s="92">
        <f t="shared" si="4"/>
        <v>412</v>
      </c>
      <c r="V71" s="27">
        <f t="shared" si="4"/>
        <v>1215</v>
      </c>
    </row>
    <row r="72" spans="1:23" ht="11.25" customHeight="1">
      <c r="A72" s="161"/>
      <c r="B72" s="170"/>
      <c r="C72" s="133"/>
      <c r="D72" s="95" t="s">
        <v>69</v>
      </c>
      <c r="E72" s="92">
        <v>2638</v>
      </c>
      <c r="F72" s="92">
        <v>67014</v>
      </c>
      <c r="G72" s="92">
        <v>57771</v>
      </c>
      <c r="H72" s="92">
        <v>62517</v>
      </c>
      <c r="I72" s="92">
        <v>512</v>
      </c>
      <c r="J72" s="92">
        <v>253</v>
      </c>
      <c r="K72" s="92">
        <v>3148</v>
      </c>
      <c r="L72" s="92">
        <v>68783</v>
      </c>
      <c r="M72" s="92">
        <v>29960</v>
      </c>
      <c r="N72" s="92">
        <v>36321</v>
      </c>
      <c r="O72" s="92">
        <v>22863</v>
      </c>
      <c r="P72" s="92">
        <v>1460</v>
      </c>
      <c r="Q72" s="92">
        <v>222</v>
      </c>
      <c r="R72" s="92">
        <v>2237</v>
      </c>
      <c r="S72" s="92">
        <v>8</v>
      </c>
      <c r="T72" s="92">
        <v>0</v>
      </c>
      <c r="U72" s="92">
        <v>376</v>
      </c>
      <c r="V72" s="27">
        <v>1172</v>
      </c>
    </row>
    <row r="73" spans="1:23" ht="11.25" customHeight="1">
      <c r="A73" s="161"/>
      <c r="B73" s="171"/>
      <c r="C73" s="134"/>
      <c r="D73" s="96" t="s">
        <v>73</v>
      </c>
      <c r="E73" s="77">
        <v>215</v>
      </c>
      <c r="F73" s="77">
        <v>1460</v>
      </c>
      <c r="G73" s="77">
        <v>2573</v>
      </c>
      <c r="H73" s="77">
        <v>1527</v>
      </c>
      <c r="I73" s="77">
        <v>101</v>
      </c>
      <c r="J73" s="77">
        <v>0</v>
      </c>
      <c r="K73" s="77">
        <v>510</v>
      </c>
      <c r="L73" s="77">
        <v>4702</v>
      </c>
      <c r="M73" s="77">
        <v>1350</v>
      </c>
      <c r="N73" s="77">
        <v>1648</v>
      </c>
      <c r="O73" s="77">
        <v>288</v>
      </c>
      <c r="P73" s="77">
        <v>87</v>
      </c>
      <c r="Q73" s="77">
        <v>0</v>
      </c>
      <c r="R73" s="77">
        <v>82</v>
      </c>
      <c r="S73" s="77">
        <v>0</v>
      </c>
      <c r="T73" s="77">
        <v>0</v>
      </c>
      <c r="U73" s="77">
        <v>36</v>
      </c>
      <c r="V73" s="97">
        <v>43</v>
      </c>
    </row>
    <row r="74" spans="1:23" ht="11.25" customHeight="1">
      <c r="A74" s="161"/>
      <c r="B74" s="172" t="s">
        <v>130</v>
      </c>
      <c r="C74" s="158" t="s">
        <v>128</v>
      </c>
      <c r="D74" s="159"/>
      <c r="E74" s="92">
        <v>4</v>
      </c>
      <c r="F74" s="92">
        <v>124</v>
      </c>
      <c r="G74" s="92">
        <v>307</v>
      </c>
      <c r="H74" s="92">
        <v>229</v>
      </c>
      <c r="I74" s="92">
        <v>0</v>
      </c>
      <c r="J74" s="92">
        <v>0</v>
      </c>
      <c r="K74" s="92">
        <v>5</v>
      </c>
      <c r="L74" s="92">
        <v>369</v>
      </c>
      <c r="M74" s="92">
        <v>590</v>
      </c>
      <c r="N74" s="92">
        <v>221</v>
      </c>
      <c r="O74" s="92">
        <v>180</v>
      </c>
      <c r="P74" s="92">
        <v>4</v>
      </c>
      <c r="Q74" s="92">
        <v>0</v>
      </c>
      <c r="R74" s="92">
        <v>11</v>
      </c>
      <c r="S74" s="92">
        <v>0</v>
      </c>
      <c r="T74" s="92">
        <v>0</v>
      </c>
      <c r="U74" s="92">
        <v>0</v>
      </c>
      <c r="V74" s="27">
        <v>5</v>
      </c>
    </row>
    <row r="75" spans="1:23" ht="11.25" customHeight="1">
      <c r="A75" s="161"/>
      <c r="B75" s="170"/>
      <c r="C75" s="160" t="s">
        <v>129</v>
      </c>
      <c r="D75" s="161"/>
      <c r="E75" s="92">
        <f>E76+E77</f>
        <v>932</v>
      </c>
      <c r="F75" s="92">
        <f t="shared" ref="F75:V75" si="5">F76+F77</f>
        <v>35032</v>
      </c>
      <c r="G75" s="92">
        <f t="shared" si="5"/>
        <v>6468</v>
      </c>
      <c r="H75" s="92">
        <f t="shared" si="5"/>
        <v>15628</v>
      </c>
      <c r="I75" s="92">
        <f t="shared" si="5"/>
        <v>0</v>
      </c>
      <c r="J75" s="92">
        <f t="shared" si="5"/>
        <v>0</v>
      </c>
      <c r="K75" s="92">
        <f t="shared" si="5"/>
        <v>68</v>
      </c>
      <c r="L75" s="92">
        <f t="shared" si="5"/>
        <v>7584</v>
      </c>
      <c r="M75" s="92">
        <f t="shared" si="5"/>
        <v>19741</v>
      </c>
      <c r="N75" s="92">
        <f t="shared" si="5"/>
        <v>8008</v>
      </c>
      <c r="O75" s="92">
        <f t="shared" si="5"/>
        <v>9615</v>
      </c>
      <c r="P75" s="92">
        <f t="shared" si="5"/>
        <v>148</v>
      </c>
      <c r="Q75" s="92">
        <f t="shared" si="5"/>
        <v>0</v>
      </c>
      <c r="R75" s="92">
        <f t="shared" si="5"/>
        <v>386</v>
      </c>
      <c r="S75" s="92">
        <f t="shared" si="5"/>
        <v>0</v>
      </c>
      <c r="T75" s="92">
        <f t="shared" si="5"/>
        <v>0</v>
      </c>
      <c r="U75" s="92">
        <f t="shared" si="5"/>
        <v>0</v>
      </c>
      <c r="V75" s="27">
        <f t="shared" si="5"/>
        <v>424</v>
      </c>
    </row>
    <row r="76" spans="1:23" ht="11.25" customHeight="1">
      <c r="A76" s="161"/>
      <c r="B76" s="170"/>
      <c r="C76" s="133"/>
      <c r="D76" s="95" t="s">
        <v>69</v>
      </c>
      <c r="E76" s="92">
        <v>890</v>
      </c>
      <c r="F76" s="92">
        <v>33724</v>
      </c>
      <c r="G76" s="92">
        <v>6242</v>
      </c>
      <c r="H76" s="92">
        <v>15197</v>
      </c>
      <c r="I76" s="92">
        <v>0</v>
      </c>
      <c r="J76" s="92">
        <v>0</v>
      </c>
      <c r="K76" s="92">
        <v>57</v>
      </c>
      <c r="L76" s="92">
        <v>7304</v>
      </c>
      <c r="M76" s="92">
        <v>19202</v>
      </c>
      <c r="N76" s="92">
        <v>7694</v>
      </c>
      <c r="O76" s="92">
        <v>9459</v>
      </c>
      <c r="P76" s="92">
        <v>133</v>
      </c>
      <c r="Q76" s="92">
        <v>0</v>
      </c>
      <c r="R76" s="92">
        <v>364</v>
      </c>
      <c r="S76" s="92">
        <v>0</v>
      </c>
      <c r="T76" s="92">
        <v>0</v>
      </c>
      <c r="U76" s="92">
        <v>0</v>
      </c>
      <c r="V76" s="27">
        <v>336</v>
      </c>
    </row>
    <row r="77" spans="1:23" ht="11.25" customHeight="1">
      <c r="A77" s="161"/>
      <c r="B77" s="171"/>
      <c r="C77" s="134"/>
      <c r="D77" s="96" t="s">
        <v>73</v>
      </c>
      <c r="E77" s="77">
        <v>42</v>
      </c>
      <c r="F77" s="77">
        <v>1308</v>
      </c>
      <c r="G77" s="77">
        <v>226</v>
      </c>
      <c r="H77" s="77">
        <v>431</v>
      </c>
      <c r="I77" s="77">
        <v>0</v>
      </c>
      <c r="J77" s="77">
        <v>0</v>
      </c>
      <c r="K77" s="77">
        <v>11</v>
      </c>
      <c r="L77" s="77">
        <v>280</v>
      </c>
      <c r="M77" s="77">
        <v>539</v>
      </c>
      <c r="N77" s="77">
        <v>314</v>
      </c>
      <c r="O77" s="77">
        <v>156</v>
      </c>
      <c r="P77" s="77">
        <v>15</v>
      </c>
      <c r="Q77" s="77">
        <v>0</v>
      </c>
      <c r="R77" s="77">
        <v>22</v>
      </c>
      <c r="S77" s="77">
        <v>0</v>
      </c>
      <c r="T77" s="77">
        <v>0</v>
      </c>
      <c r="U77" s="77">
        <v>0</v>
      </c>
      <c r="V77" s="97">
        <v>88</v>
      </c>
    </row>
    <row r="78" spans="1:23" ht="11.25" customHeight="1">
      <c r="A78" s="197" t="s">
        <v>71</v>
      </c>
      <c r="B78" s="199" t="s">
        <v>183</v>
      </c>
      <c r="C78" s="158" t="s">
        <v>128</v>
      </c>
      <c r="D78" s="159"/>
      <c r="E78" s="92">
        <v>0</v>
      </c>
      <c r="F78" s="92">
        <v>0</v>
      </c>
      <c r="G78" s="92">
        <v>0</v>
      </c>
      <c r="H78" s="92">
        <v>0</v>
      </c>
      <c r="I78" s="92">
        <v>0</v>
      </c>
      <c r="J78" s="92">
        <v>0</v>
      </c>
      <c r="K78" s="92">
        <v>0</v>
      </c>
      <c r="L78" s="92">
        <v>0</v>
      </c>
      <c r="M78" s="92">
        <v>0</v>
      </c>
      <c r="N78" s="92">
        <v>0</v>
      </c>
      <c r="O78" s="92">
        <v>0</v>
      </c>
      <c r="P78" s="92">
        <v>0</v>
      </c>
      <c r="Q78" s="92">
        <v>0</v>
      </c>
      <c r="R78" s="92">
        <v>0</v>
      </c>
      <c r="S78" s="92">
        <v>0</v>
      </c>
      <c r="T78" s="92">
        <v>0</v>
      </c>
      <c r="U78" s="92">
        <v>0</v>
      </c>
      <c r="V78" s="27" t="s">
        <v>140</v>
      </c>
    </row>
    <row r="79" spans="1:23" ht="11.25" customHeight="1">
      <c r="A79" s="197"/>
      <c r="B79" s="197"/>
      <c r="C79" s="160" t="s">
        <v>129</v>
      </c>
      <c r="D79" s="161"/>
      <c r="E79" s="92">
        <v>0</v>
      </c>
      <c r="F79" s="92">
        <v>0</v>
      </c>
      <c r="G79" s="92">
        <v>0</v>
      </c>
      <c r="H79" s="92">
        <v>0</v>
      </c>
      <c r="I79" s="92">
        <v>0</v>
      </c>
      <c r="J79" s="92">
        <v>0</v>
      </c>
      <c r="K79" s="92">
        <v>0</v>
      </c>
      <c r="L79" s="92">
        <v>0</v>
      </c>
      <c r="M79" s="92">
        <v>0</v>
      </c>
      <c r="N79" s="92">
        <v>0</v>
      </c>
      <c r="O79" s="92">
        <v>0</v>
      </c>
      <c r="P79" s="92">
        <v>0</v>
      </c>
      <c r="Q79" s="92">
        <v>0</v>
      </c>
      <c r="R79" s="92">
        <v>0</v>
      </c>
      <c r="S79" s="92">
        <v>0</v>
      </c>
      <c r="T79" s="92">
        <v>0</v>
      </c>
      <c r="U79" s="92">
        <v>0</v>
      </c>
      <c r="V79" s="27">
        <v>0</v>
      </c>
    </row>
    <row r="80" spans="1:23" ht="11.25" customHeight="1">
      <c r="A80" s="197"/>
      <c r="B80" s="197"/>
      <c r="C80" s="133"/>
      <c r="D80" s="95" t="s">
        <v>69</v>
      </c>
      <c r="E80" s="92">
        <v>0</v>
      </c>
      <c r="F80" s="92">
        <v>0</v>
      </c>
      <c r="G80" s="92">
        <v>0</v>
      </c>
      <c r="H80" s="92">
        <v>0</v>
      </c>
      <c r="I80" s="92">
        <v>0</v>
      </c>
      <c r="J80" s="92">
        <v>0</v>
      </c>
      <c r="K80" s="92">
        <v>0</v>
      </c>
      <c r="L80" s="92">
        <v>0</v>
      </c>
      <c r="M80" s="92">
        <v>0</v>
      </c>
      <c r="N80" s="92">
        <v>0</v>
      </c>
      <c r="O80" s="92">
        <v>0</v>
      </c>
      <c r="P80" s="92">
        <v>0</v>
      </c>
      <c r="Q80" s="92">
        <v>0</v>
      </c>
      <c r="R80" s="92">
        <v>0</v>
      </c>
      <c r="S80" s="92">
        <v>0</v>
      </c>
      <c r="T80" s="92">
        <v>0</v>
      </c>
      <c r="U80" s="92">
        <v>0</v>
      </c>
      <c r="V80" s="27">
        <v>0</v>
      </c>
    </row>
    <row r="81" spans="1:22" ht="11.25" customHeight="1">
      <c r="A81" s="198"/>
      <c r="B81" s="198"/>
      <c r="C81" s="134"/>
      <c r="D81" s="102" t="s">
        <v>73</v>
      </c>
      <c r="E81" s="77">
        <v>0</v>
      </c>
      <c r="F81" s="77">
        <v>0</v>
      </c>
      <c r="G81" s="77">
        <v>0</v>
      </c>
      <c r="H81" s="77">
        <v>0</v>
      </c>
      <c r="I81" s="77">
        <v>0</v>
      </c>
      <c r="J81" s="77">
        <v>0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97">
        <v>0</v>
      </c>
    </row>
    <row r="82" spans="1:22" ht="11.25" customHeight="1">
      <c r="A82" s="199" t="s">
        <v>195</v>
      </c>
      <c r="B82" s="131" t="s">
        <v>125</v>
      </c>
      <c r="C82" s="200" t="s">
        <v>181</v>
      </c>
      <c r="D82" s="201"/>
      <c r="E82" s="92">
        <f>E84+E88</f>
        <v>18</v>
      </c>
      <c r="F82" s="92">
        <f t="shared" ref="F82:V83" si="6">F84+F88</f>
        <v>182</v>
      </c>
      <c r="G82" s="92">
        <f t="shared" si="6"/>
        <v>995</v>
      </c>
      <c r="H82" s="92">
        <f t="shared" si="6"/>
        <v>386</v>
      </c>
      <c r="I82" s="92">
        <f t="shared" si="6"/>
        <v>113</v>
      </c>
      <c r="J82" s="92">
        <f t="shared" si="6"/>
        <v>5</v>
      </c>
      <c r="K82" s="92">
        <f t="shared" si="6"/>
        <v>130</v>
      </c>
      <c r="L82" s="92">
        <f t="shared" si="6"/>
        <v>1463</v>
      </c>
      <c r="M82" s="92">
        <f t="shared" si="6"/>
        <v>821</v>
      </c>
      <c r="N82" s="92">
        <f t="shared" si="6"/>
        <v>314</v>
      </c>
      <c r="O82" s="92">
        <f t="shared" si="6"/>
        <v>197</v>
      </c>
      <c r="P82" s="92">
        <f t="shared" si="6"/>
        <v>28</v>
      </c>
      <c r="Q82" s="92">
        <f t="shared" si="6"/>
        <v>5</v>
      </c>
      <c r="R82" s="92">
        <f t="shared" si="6"/>
        <v>82</v>
      </c>
      <c r="S82" s="92">
        <f t="shared" si="6"/>
        <v>0</v>
      </c>
      <c r="T82" s="92">
        <f t="shared" si="6"/>
        <v>0</v>
      </c>
      <c r="U82" s="92">
        <f t="shared" si="6"/>
        <v>42</v>
      </c>
      <c r="V82" s="94">
        <f t="shared" si="6"/>
        <v>30</v>
      </c>
    </row>
    <row r="83" spans="1:22" ht="11.25" customHeight="1">
      <c r="A83" s="197"/>
      <c r="B83" s="93" t="s">
        <v>126</v>
      </c>
      <c r="C83" s="202" t="s">
        <v>182</v>
      </c>
      <c r="D83" s="203"/>
      <c r="E83" s="92">
        <f>E85+E89</f>
        <v>5008</v>
      </c>
      <c r="F83" s="92">
        <f t="shared" si="6"/>
        <v>102905</v>
      </c>
      <c r="G83" s="92">
        <f t="shared" si="6"/>
        <v>69758</v>
      </c>
      <c r="H83" s="92">
        <f t="shared" si="6"/>
        <v>104553</v>
      </c>
      <c r="I83" s="92">
        <f t="shared" si="6"/>
        <v>780</v>
      </c>
      <c r="J83" s="92">
        <f t="shared" si="6"/>
        <v>436</v>
      </c>
      <c r="K83" s="92">
        <f t="shared" si="6"/>
        <v>4299</v>
      </c>
      <c r="L83" s="92">
        <f t="shared" si="6"/>
        <v>90912</v>
      </c>
      <c r="M83" s="92">
        <f t="shared" si="6"/>
        <v>64635</v>
      </c>
      <c r="N83" s="92">
        <f t="shared" si="6"/>
        <v>45295</v>
      </c>
      <c r="O83" s="92">
        <f t="shared" si="6"/>
        <v>28128</v>
      </c>
      <c r="P83" s="92">
        <f t="shared" si="6"/>
        <v>4422</v>
      </c>
      <c r="Q83" s="92">
        <f t="shared" si="6"/>
        <v>501</v>
      </c>
      <c r="R83" s="92">
        <f t="shared" si="6"/>
        <v>11855</v>
      </c>
      <c r="S83" s="92">
        <f t="shared" si="6"/>
        <v>0</v>
      </c>
      <c r="T83" s="92">
        <f t="shared" si="6"/>
        <v>0</v>
      </c>
      <c r="U83" s="92">
        <f t="shared" si="6"/>
        <v>468</v>
      </c>
      <c r="V83" s="27">
        <f t="shared" si="6"/>
        <v>10734</v>
      </c>
    </row>
    <row r="84" spans="1:22" ht="11.25" customHeight="1">
      <c r="A84" s="161">
        <v>4</v>
      </c>
      <c r="B84" s="172" t="s">
        <v>127</v>
      </c>
      <c r="C84" s="158" t="s">
        <v>128</v>
      </c>
      <c r="D84" s="159"/>
      <c r="E84" s="75">
        <f>6+5</f>
        <v>11</v>
      </c>
      <c r="F84" s="75">
        <f>47+31</f>
        <v>78</v>
      </c>
      <c r="G84" s="75">
        <f>480+198</f>
        <v>678</v>
      </c>
      <c r="H84" s="75">
        <f>115+43</f>
        <v>158</v>
      </c>
      <c r="I84" s="75">
        <f>55+57</f>
        <v>112</v>
      </c>
      <c r="J84" s="75">
        <f>4+1</f>
        <v>5</v>
      </c>
      <c r="K84" s="75">
        <f>62+61</f>
        <v>123</v>
      </c>
      <c r="L84" s="75">
        <f>704+315</f>
        <v>1019</v>
      </c>
      <c r="M84" s="75">
        <f>121+80</f>
        <v>201</v>
      </c>
      <c r="N84" s="75">
        <f>69+39</f>
        <v>108</v>
      </c>
      <c r="O84" s="75">
        <f>12+7</f>
        <v>19</v>
      </c>
      <c r="P84" s="75">
        <f>13+5</f>
        <v>18</v>
      </c>
      <c r="Q84" s="75">
        <f>2</f>
        <v>2</v>
      </c>
      <c r="R84" s="75">
        <f>46+24</f>
        <v>70</v>
      </c>
      <c r="S84" s="75">
        <v>0</v>
      </c>
      <c r="T84" s="75">
        <v>0</v>
      </c>
      <c r="U84" s="75">
        <f>32+9</f>
        <v>41</v>
      </c>
      <c r="V84" s="94">
        <f>11+4</f>
        <v>15</v>
      </c>
    </row>
    <row r="85" spans="1:22" ht="11.25" customHeight="1">
      <c r="A85" s="161"/>
      <c r="B85" s="170"/>
      <c r="C85" s="160" t="s">
        <v>129</v>
      </c>
      <c r="D85" s="161"/>
      <c r="E85" s="92">
        <f>E86+E87</f>
        <v>2288</v>
      </c>
      <c r="F85" s="92">
        <f t="shared" ref="F85:V85" si="7">F86+F87</f>
        <v>62817</v>
      </c>
      <c r="G85" s="92">
        <f t="shared" si="7"/>
        <v>63208</v>
      </c>
      <c r="H85" s="92">
        <f t="shared" si="7"/>
        <v>89370</v>
      </c>
      <c r="I85" s="92">
        <f t="shared" si="7"/>
        <v>779</v>
      </c>
      <c r="J85" s="92">
        <f t="shared" si="7"/>
        <v>436</v>
      </c>
      <c r="K85" s="92">
        <f>K86+K87</f>
        <v>4173</v>
      </c>
      <c r="L85" s="92">
        <f t="shared" si="7"/>
        <v>81004</v>
      </c>
      <c r="M85" s="92">
        <f t="shared" si="7"/>
        <v>44250</v>
      </c>
      <c r="N85" s="92">
        <f t="shared" si="7"/>
        <v>36517</v>
      </c>
      <c r="O85" s="92">
        <f t="shared" si="7"/>
        <v>17730</v>
      </c>
      <c r="P85" s="92">
        <f t="shared" si="7"/>
        <v>3950</v>
      </c>
      <c r="Q85" s="92">
        <f t="shared" si="7"/>
        <v>431</v>
      </c>
      <c r="R85" s="92">
        <f t="shared" si="7"/>
        <v>10933</v>
      </c>
      <c r="S85" s="92">
        <f t="shared" si="7"/>
        <v>0</v>
      </c>
      <c r="T85" s="92">
        <f t="shared" si="7"/>
        <v>0</v>
      </c>
      <c r="U85" s="92">
        <f t="shared" si="7"/>
        <v>465</v>
      </c>
      <c r="V85" s="27">
        <f t="shared" si="7"/>
        <v>10222</v>
      </c>
    </row>
    <row r="86" spans="1:22" ht="11.25" customHeight="1">
      <c r="A86" s="161"/>
      <c r="B86" s="170"/>
      <c r="C86" s="133"/>
      <c r="D86" s="95" t="s">
        <v>69</v>
      </c>
      <c r="E86" s="92">
        <f>1039+1100</f>
        <v>2139</v>
      </c>
      <c r="F86" s="92">
        <f>34988+26562</f>
        <v>61550</v>
      </c>
      <c r="G86" s="92">
        <f>38871+16703</f>
        <v>55574</v>
      </c>
      <c r="H86" s="92">
        <f>59343+28368</f>
        <v>87711</v>
      </c>
      <c r="I86" s="92">
        <f>285+318</f>
        <v>603</v>
      </c>
      <c r="J86" s="92">
        <f>332+87</f>
        <v>419</v>
      </c>
      <c r="K86" s="92">
        <f>1813+1575</f>
        <v>3388</v>
      </c>
      <c r="L86" s="92">
        <f>52993+23237</f>
        <v>76230</v>
      </c>
      <c r="M86" s="92">
        <f>24419+17917</f>
        <v>42336</v>
      </c>
      <c r="N86" s="92">
        <f>22647+12270</f>
        <v>34917</v>
      </c>
      <c r="O86" s="92">
        <f>10330+7139</f>
        <v>17469</v>
      </c>
      <c r="P86" s="92">
        <f>3086+742</f>
        <v>3828</v>
      </c>
      <c r="Q86" s="92">
        <f>388</f>
        <v>388</v>
      </c>
      <c r="R86" s="92">
        <f>4685+5639</f>
        <v>10324</v>
      </c>
      <c r="S86" s="92">
        <v>0</v>
      </c>
      <c r="T86" s="92">
        <v>0</v>
      </c>
      <c r="U86" s="92">
        <f>306+111</f>
        <v>417</v>
      </c>
      <c r="V86" s="27">
        <f>7535+2501</f>
        <v>10036</v>
      </c>
    </row>
    <row r="87" spans="1:22" ht="11.25" customHeight="1">
      <c r="A87" s="161"/>
      <c r="B87" s="171"/>
      <c r="C87" s="134"/>
      <c r="D87" s="96" t="s">
        <v>73</v>
      </c>
      <c r="E87" s="77">
        <f>42+107</f>
        <v>149</v>
      </c>
      <c r="F87" s="77">
        <f>739+528</f>
        <v>1267</v>
      </c>
      <c r="G87" s="77">
        <f>7044+590</f>
        <v>7634</v>
      </c>
      <c r="H87" s="77">
        <f>1357+302</f>
        <v>1659</v>
      </c>
      <c r="I87" s="77">
        <f>53+123</f>
        <v>176</v>
      </c>
      <c r="J87" s="77">
        <f>17</f>
        <v>17</v>
      </c>
      <c r="K87" s="77">
        <f>245+540</f>
        <v>785</v>
      </c>
      <c r="L87" s="77">
        <f>2425+2349</f>
        <v>4774</v>
      </c>
      <c r="M87" s="77">
        <f>1130+784</f>
        <v>1914</v>
      </c>
      <c r="N87" s="77">
        <f>889+711</f>
        <v>1600</v>
      </c>
      <c r="O87" s="77">
        <f>152+109</f>
        <v>261</v>
      </c>
      <c r="P87" s="77">
        <f>82+40</f>
        <v>122</v>
      </c>
      <c r="Q87" s="77">
        <f>43</f>
        <v>43</v>
      </c>
      <c r="R87" s="77">
        <f>230+379</f>
        <v>609</v>
      </c>
      <c r="S87" s="77">
        <v>0</v>
      </c>
      <c r="T87" s="77">
        <v>0</v>
      </c>
      <c r="U87" s="77">
        <f>42+6</f>
        <v>48</v>
      </c>
      <c r="V87" s="97">
        <f>112+74</f>
        <v>186</v>
      </c>
    </row>
    <row r="88" spans="1:22" ht="11.25" customHeight="1">
      <c r="A88" s="161"/>
      <c r="B88" s="172" t="s">
        <v>130</v>
      </c>
      <c r="C88" s="158" t="s">
        <v>128</v>
      </c>
      <c r="D88" s="159"/>
      <c r="E88" s="92">
        <f>6+1</f>
        <v>7</v>
      </c>
      <c r="F88" s="92">
        <f>56+48</f>
        <v>104</v>
      </c>
      <c r="G88" s="92">
        <f>221+96</f>
        <v>317</v>
      </c>
      <c r="H88" s="92">
        <f>132+96</f>
        <v>228</v>
      </c>
      <c r="I88" s="92">
        <v>1</v>
      </c>
      <c r="J88" s="92">
        <v>0</v>
      </c>
      <c r="K88" s="92">
        <f>3+4</f>
        <v>7</v>
      </c>
      <c r="L88" s="92">
        <f>310+134</f>
        <v>444</v>
      </c>
      <c r="M88" s="92">
        <f>354+266</f>
        <v>620</v>
      </c>
      <c r="N88" s="92">
        <f>127+79</f>
        <v>206</v>
      </c>
      <c r="O88" s="92">
        <f>107+71</f>
        <v>178</v>
      </c>
      <c r="P88" s="92">
        <f>6+4</f>
        <v>10</v>
      </c>
      <c r="Q88" s="92">
        <f>3</f>
        <v>3</v>
      </c>
      <c r="R88" s="92">
        <f>11+1</f>
        <v>12</v>
      </c>
      <c r="S88" s="92">
        <v>0</v>
      </c>
      <c r="T88" s="92">
        <v>0</v>
      </c>
      <c r="U88" s="92">
        <f>1</f>
        <v>1</v>
      </c>
      <c r="V88" s="27">
        <f>4+11</f>
        <v>15</v>
      </c>
    </row>
    <row r="89" spans="1:22" ht="11.25" customHeight="1">
      <c r="A89" s="161"/>
      <c r="B89" s="170"/>
      <c r="C89" s="160" t="s">
        <v>129</v>
      </c>
      <c r="D89" s="161"/>
      <c r="E89" s="92">
        <f>E90+E91</f>
        <v>2720</v>
      </c>
      <c r="F89" s="92">
        <f t="shared" ref="F89:V89" si="8">F90+F91</f>
        <v>40088</v>
      </c>
      <c r="G89" s="92">
        <f t="shared" si="8"/>
        <v>6550</v>
      </c>
      <c r="H89" s="92">
        <f t="shared" si="8"/>
        <v>15183</v>
      </c>
      <c r="I89" s="92">
        <f t="shared" si="8"/>
        <v>1</v>
      </c>
      <c r="J89" s="92">
        <f t="shared" si="8"/>
        <v>0</v>
      </c>
      <c r="K89" s="92">
        <f t="shared" si="8"/>
        <v>126</v>
      </c>
      <c r="L89" s="92">
        <f t="shared" si="8"/>
        <v>9908</v>
      </c>
      <c r="M89" s="92">
        <f t="shared" si="8"/>
        <v>20385</v>
      </c>
      <c r="N89" s="92">
        <f t="shared" si="8"/>
        <v>8778</v>
      </c>
      <c r="O89" s="92">
        <f t="shared" si="8"/>
        <v>10398</v>
      </c>
      <c r="P89" s="92">
        <f t="shared" si="8"/>
        <v>472</v>
      </c>
      <c r="Q89" s="92">
        <f t="shared" si="8"/>
        <v>70</v>
      </c>
      <c r="R89" s="92">
        <f t="shared" si="8"/>
        <v>922</v>
      </c>
      <c r="S89" s="92">
        <f t="shared" si="8"/>
        <v>0</v>
      </c>
      <c r="T89" s="92">
        <f t="shared" si="8"/>
        <v>0</v>
      </c>
      <c r="U89" s="92">
        <f t="shared" si="8"/>
        <v>3</v>
      </c>
      <c r="V89" s="27">
        <f t="shared" si="8"/>
        <v>512</v>
      </c>
    </row>
    <row r="90" spans="1:22" ht="11.25" customHeight="1">
      <c r="A90" s="161"/>
      <c r="B90" s="170"/>
      <c r="C90" s="133"/>
      <c r="D90" s="95" t="s">
        <v>69</v>
      </c>
      <c r="E90" s="92">
        <f>2564+46</f>
        <v>2610</v>
      </c>
      <c r="F90" s="92">
        <f>17980+20976</f>
        <v>38956</v>
      </c>
      <c r="G90" s="92">
        <f>4292+2075</f>
        <v>6367</v>
      </c>
      <c r="H90" s="92">
        <f>7954+6884</f>
        <v>14838</v>
      </c>
      <c r="I90" s="92">
        <v>1</v>
      </c>
      <c r="J90" s="92">
        <v>0</v>
      </c>
      <c r="K90" s="92">
        <f>42+65</f>
        <v>107</v>
      </c>
      <c r="L90" s="92">
        <f>6384+3035</f>
        <v>9419</v>
      </c>
      <c r="M90" s="92">
        <f>10852+8914</f>
        <v>19766</v>
      </c>
      <c r="N90" s="92">
        <f>6443+2120</f>
        <v>8563</v>
      </c>
      <c r="O90" s="92">
        <f>6424+3879</f>
        <v>10303</v>
      </c>
      <c r="P90" s="92">
        <f>202+262</f>
        <v>464</v>
      </c>
      <c r="Q90" s="92">
        <f>66</f>
        <v>66</v>
      </c>
      <c r="R90" s="92">
        <f>833+8</f>
        <v>841</v>
      </c>
      <c r="S90" s="92">
        <v>0</v>
      </c>
      <c r="T90" s="92">
        <v>0</v>
      </c>
      <c r="U90" s="92">
        <f>3</f>
        <v>3</v>
      </c>
      <c r="V90" s="27">
        <f>58+415</f>
        <v>473</v>
      </c>
    </row>
    <row r="91" spans="1:22" ht="11.25" customHeight="1">
      <c r="A91" s="161"/>
      <c r="B91" s="171"/>
      <c r="C91" s="134"/>
      <c r="D91" s="96" t="s">
        <v>73</v>
      </c>
      <c r="E91" s="77">
        <f>110+0</f>
        <v>110</v>
      </c>
      <c r="F91" s="77">
        <f>674+458</f>
        <v>1132</v>
      </c>
      <c r="G91" s="77">
        <f>117+66</f>
        <v>183</v>
      </c>
      <c r="H91" s="77">
        <f>174+171</f>
        <v>345</v>
      </c>
      <c r="I91" s="77">
        <v>0</v>
      </c>
      <c r="J91" s="77">
        <v>0</v>
      </c>
      <c r="K91" s="77">
        <f>4+15</f>
        <v>19</v>
      </c>
      <c r="L91" s="77">
        <f>337+152</f>
        <v>489</v>
      </c>
      <c r="M91" s="77">
        <f>304+315</f>
        <v>619</v>
      </c>
      <c r="N91" s="77">
        <f>156+59</f>
        <v>215</v>
      </c>
      <c r="O91" s="77">
        <f>51+44</f>
        <v>95</v>
      </c>
      <c r="P91" s="77">
        <f>6+2</f>
        <v>8</v>
      </c>
      <c r="Q91" s="77">
        <f>4</f>
        <v>4</v>
      </c>
      <c r="R91" s="77">
        <f>81</f>
        <v>81</v>
      </c>
      <c r="S91" s="77">
        <v>0</v>
      </c>
      <c r="T91" s="77">
        <v>0</v>
      </c>
      <c r="U91" s="77">
        <v>0</v>
      </c>
      <c r="V91" s="97">
        <f>2+37</f>
        <v>39</v>
      </c>
    </row>
    <row r="92" spans="1:22" ht="11.25" customHeight="1">
      <c r="A92" s="197" t="s">
        <v>71</v>
      </c>
      <c r="B92" s="199" t="s">
        <v>183</v>
      </c>
      <c r="C92" s="158" t="s">
        <v>128</v>
      </c>
      <c r="D92" s="159"/>
      <c r="E92" s="92">
        <v>0</v>
      </c>
      <c r="F92" s="92">
        <v>0</v>
      </c>
      <c r="G92" s="92">
        <v>0</v>
      </c>
      <c r="H92" s="92">
        <v>0</v>
      </c>
      <c r="I92" s="92">
        <v>0</v>
      </c>
      <c r="J92" s="92">
        <v>0</v>
      </c>
      <c r="K92" s="92">
        <v>0</v>
      </c>
      <c r="L92" s="92">
        <v>0</v>
      </c>
      <c r="M92" s="92">
        <v>0</v>
      </c>
      <c r="N92" s="92">
        <v>0</v>
      </c>
      <c r="O92" s="92">
        <v>0</v>
      </c>
      <c r="P92" s="92">
        <v>0</v>
      </c>
      <c r="Q92" s="92">
        <v>0</v>
      </c>
      <c r="R92" s="92">
        <v>0</v>
      </c>
      <c r="S92" s="92">
        <v>0</v>
      </c>
      <c r="T92" s="92">
        <v>0</v>
      </c>
      <c r="U92" s="92">
        <v>0</v>
      </c>
      <c r="V92" s="27" t="s">
        <v>140</v>
      </c>
    </row>
    <row r="93" spans="1:22" ht="11.25" customHeight="1">
      <c r="A93" s="197"/>
      <c r="B93" s="197"/>
      <c r="C93" s="160" t="s">
        <v>129</v>
      </c>
      <c r="D93" s="161"/>
      <c r="E93" s="92">
        <v>0</v>
      </c>
      <c r="F93" s="92">
        <v>0</v>
      </c>
      <c r="G93" s="92">
        <v>0</v>
      </c>
      <c r="H93" s="92">
        <v>0</v>
      </c>
      <c r="I93" s="92">
        <v>0</v>
      </c>
      <c r="J93" s="92">
        <v>0</v>
      </c>
      <c r="K93" s="92">
        <v>0</v>
      </c>
      <c r="L93" s="92">
        <v>0</v>
      </c>
      <c r="M93" s="92">
        <v>0</v>
      </c>
      <c r="N93" s="92">
        <v>0</v>
      </c>
      <c r="O93" s="92">
        <v>0</v>
      </c>
      <c r="P93" s="92">
        <v>0</v>
      </c>
      <c r="Q93" s="92">
        <v>0</v>
      </c>
      <c r="R93" s="92">
        <v>0</v>
      </c>
      <c r="S93" s="92">
        <v>0</v>
      </c>
      <c r="T93" s="92">
        <v>0</v>
      </c>
      <c r="U93" s="92">
        <v>0</v>
      </c>
      <c r="V93" s="27">
        <v>0</v>
      </c>
    </row>
    <row r="94" spans="1:22" ht="11.25" customHeight="1">
      <c r="A94" s="197"/>
      <c r="B94" s="197"/>
      <c r="C94" s="133"/>
      <c r="D94" s="95" t="s">
        <v>69</v>
      </c>
      <c r="E94" s="92">
        <v>0</v>
      </c>
      <c r="F94" s="92">
        <v>0</v>
      </c>
      <c r="G94" s="92">
        <v>0</v>
      </c>
      <c r="H94" s="92">
        <v>0</v>
      </c>
      <c r="I94" s="92">
        <v>0</v>
      </c>
      <c r="J94" s="92">
        <v>0</v>
      </c>
      <c r="K94" s="92">
        <v>0</v>
      </c>
      <c r="L94" s="92">
        <v>0</v>
      </c>
      <c r="M94" s="92">
        <v>0</v>
      </c>
      <c r="N94" s="92">
        <v>0</v>
      </c>
      <c r="O94" s="92">
        <v>0</v>
      </c>
      <c r="P94" s="92">
        <v>0</v>
      </c>
      <c r="Q94" s="92">
        <v>0</v>
      </c>
      <c r="R94" s="92">
        <v>0</v>
      </c>
      <c r="S94" s="92">
        <v>0</v>
      </c>
      <c r="T94" s="92">
        <v>0</v>
      </c>
      <c r="U94" s="92">
        <v>0</v>
      </c>
      <c r="V94" s="27">
        <v>0</v>
      </c>
    </row>
    <row r="95" spans="1:22" ht="11.25" customHeight="1">
      <c r="A95" s="198"/>
      <c r="B95" s="198"/>
      <c r="C95" s="134"/>
      <c r="D95" s="102" t="s">
        <v>73</v>
      </c>
      <c r="E95" s="77">
        <v>0</v>
      </c>
      <c r="F95" s="77">
        <v>0</v>
      </c>
      <c r="G95" s="77">
        <v>0</v>
      </c>
      <c r="H95" s="77">
        <v>0</v>
      </c>
      <c r="I95" s="77">
        <v>0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97">
        <v>0</v>
      </c>
    </row>
    <row r="96" spans="1:22" ht="11.25" customHeight="1">
      <c r="A96" s="199" t="s">
        <v>195</v>
      </c>
      <c r="B96" s="131" t="s">
        <v>125</v>
      </c>
      <c r="C96" s="200" t="s">
        <v>181</v>
      </c>
      <c r="D96" s="201"/>
      <c r="E96" s="92">
        <f>E98+E102</f>
        <v>15</v>
      </c>
      <c r="F96" s="92">
        <f t="shared" ref="F96:V97" si="9">F98+F102</f>
        <v>183</v>
      </c>
      <c r="G96" s="92">
        <f t="shared" si="9"/>
        <v>1050</v>
      </c>
      <c r="H96" s="92">
        <f t="shared" si="9"/>
        <v>381</v>
      </c>
      <c r="I96" s="92">
        <f t="shared" si="9"/>
        <v>121</v>
      </c>
      <c r="J96" s="92">
        <f t="shared" si="9"/>
        <v>13</v>
      </c>
      <c r="K96" s="92">
        <f t="shared" si="9"/>
        <v>134</v>
      </c>
      <c r="L96" s="92">
        <f t="shared" si="9"/>
        <v>1546</v>
      </c>
      <c r="M96" s="92">
        <f t="shared" si="9"/>
        <v>782</v>
      </c>
      <c r="N96" s="92">
        <f t="shared" si="9"/>
        <v>320</v>
      </c>
      <c r="O96" s="92">
        <f t="shared" si="9"/>
        <v>220</v>
      </c>
      <c r="P96" s="92">
        <f t="shared" si="9"/>
        <v>19</v>
      </c>
      <c r="Q96" s="92">
        <f t="shared" si="9"/>
        <v>1</v>
      </c>
      <c r="R96" s="92">
        <f t="shared" si="9"/>
        <v>54</v>
      </c>
      <c r="S96" s="92">
        <f t="shared" si="9"/>
        <v>0</v>
      </c>
      <c r="T96" s="92">
        <f t="shared" si="9"/>
        <v>0</v>
      </c>
      <c r="U96" s="92">
        <f t="shared" si="9"/>
        <v>48</v>
      </c>
      <c r="V96" s="94">
        <f t="shared" si="9"/>
        <v>24</v>
      </c>
    </row>
    <row r="97" spans="1:22" ht="11.25" customHeight="1">
      <c r="A97" s="197"/>
      <c r="B97" s="93" t="s">
        <v>126</v>
      </c>
      <c r="C97" s="202" t="s">
        <v>182</v>
      </c>
      <c r="D97" s="203"/>
      <c r="E97" s="92">
        <f>E99+E103</f>
        <v>4035</v>
      </c>
      <c r="F97" s="92">
        <f t="shared" si="9"/>
        <v>96248</v>
      </c>
      <c r="G97" s="92">
        <f t="shared" si="9"/>
        <v>74831</v>
      </c>
      <c r="H97" s="92">
        <f t="shared" si="9"/>
        <v>91333</v>
      </c>
      <c r="I97" s="92">
        <f t="shared" si="9"/>
        <v>850</v>
      </c>
      <c r="J97" s="92">
        <f t="shared" si="9"/>
        <v>1136</v>
      </c>
      <c r="K97" s="92">
        <f t="shared" si="9"/>
        <v>4290</v>
      </c>
      <c r="L97" s="92">
        <f t="shared" si="9"/>
        <v>97009</v>
      </c>
      <c r="M97" s="92">
        <f t="shared" si="9"/>
        <v>56639</v>
      </c>
      <c r="N97" s="92">
        <f t="shared" si="9"/>
        <v>47800</v>
      </c>
      <c r="O97" s="92">
        <f t="shared" si="9"/>
        <v>28356</v>
      </c>
      <c r="P97" s="92">
        <f t="shared" si="9"/>
        <v>2154</v>
      </c>
      <c r="Q97" s="92">
        <f t="shared" si="9"/>
        <v>236</v>
      </c>
      <c r="R97" s="92">
        <f t="shared" si="9"/>
        <v>4381</v>
      </c>
      <c r="S97" s="92">
        <f t="shared" si="9"/>
        <v>0</v>
      </c>
      <c r="T97" s="92">
        <f t="shared" si="9"/>
        <v>0</v>
      </c>
      <c r="U97" s="92">
        <f t="shared" si="9"/>
        <v>619</v>
      </c>
      <c r="V97" s="27">
        <f t="shared" si="9"/>
        <v>13692</v>
      </c>
    </row>
    <row r="98" spans="1:22" ht="11.25" customHeight="1">
      <c r="A98" s="161">
        <v>5</v>
      </c>
      <c r="B98" s="172" t="s">
        <v>127</v>
      </c>
      <c r="C98" s="158" t="s">
        <v>128</v>
      </c>
      <c r="D98" s="159"/>
      <c r="E98" s="75">
        <f>6+4</f>
        <v>10</v>
      </c>
      <c r="F98" s="75">
        <f>50+29</f>
        <v>79</v>
      </c>
      <c r="G98" s="75">
        <f>466+237</f>
        <v>703</v>
      </c>
      <c r="H98" s="75">
        <f>90+50</f>
        <v>140</v>
      </c>
      <c r="I98" s="75">
        <f>69+50</f>
        <v>119</v>
      </c>
      <c r="J98" s="75">
        <f>11+2</f>
        <v>13</v>
      </c>
      <c r="K98" s="75">
        <f>63+67</f>
        <v>130</v>
      </c>
      <c r="L98" s="75">
        <f>782+391</f>
        <v>1173</v>
      </c>
      <c r="M98" s="75">
        <f>94+56</f>
        <v>150</v>
      </c>
      <c r="N98" s="75">
        <f>78+40</f>
        <v>118</v>
      </c>
      <c r="O98" s="75">
        <f>14+12</f>
        <v>26</v>
      </c>
      <c r="P98" s="75">
        <f>8+5</f>
        <v>13</v>
      </c>
      <c r="Q98" s="75">
        <v>0</v>
      </c>
      <c r="R98" s="75">
        <f>31+18</f>
        <v>49</v>
      </c>
      <c r="S98" s="75">
        <v>0</v>
      </c>
      <c r="T98" s="75">
        <v>0</v>
      </c>
      <c r="U98" s="75">
        <f>24+23</f>
        <v>47</v>
      </c>
      <c r="V98" s="94">
        <f>6+10</f>
        <v>16</v>
      </c>
    </row>
    <row r="99" spans="1:22" ht="11.25" customHeight="1">
      <c r="A99" s="161"/>
      <c r="B99" s="170"/>
      <c r="C99" s="160" t="s">
        <v>129</v>
      </c>
      <c r="D99" s="161"/>
      <c r="E99" s="92">
        <f>E100+E101</f>
        <v>3191</v>
      </c>
      <c r="F99" s="92">
        <f t="shared" ref="F99:J99" si="10">F100+F101</f>
        <v>61151</v>
      </c>
      <c r="G99" s="92">
        <f t="shared" si="10"/>
        <v>68503</v>
      </c>
      <c r="H99" s="92">
        <f t="shared" si="10"/>
        <v>74298</v>
      </c>
      <c r="I99" s="92">
        <f t="shared" si="10"/>
        <v>842</v>
      </c>
      <c r="J99" s="92">
        <f t="shared" si="10"/>
        <v>1136</v>
      </c>
      <c r="K99" s="92">
        <f>K100+K101</f>
        <v>4154</v>
      </c>
      <c r="L99" s="92">
        <f t="shared" ref="L99:V99" si="11">L100+L101</f>
        <v>88209</v>
      </c>
      <c r="M99" s="92">
        <f t="shared" si="11"/>
        <v>35907</v>
      </c>
      <c r="N99" s="92">
        <f t="shared" si="11"/>
        <v>40898</v>
      </c>
      <c r="O99" s="92">
        <f t="shared" si="11"/>
        <v>18652</v>
      </c>
      <c r="P99" s="92">
        <f t="shared" si="11"/>
        <v>2006</v>
      </c>
      <c r="Q99" s="92">
        <f t="shared" si="11"/>
        <v>0</v>
      </c>
      <c r="R99" s="92">
        <f t="shared" si="11"/>
        <v>4262</v>
      </c>
      <c r="S99" s="92">
        <f t="shared" si="11"/>
        <v>0</v>
      </c>
      <c r="T99" s="92">
        <f t="shared" si="11"/>
        <v>0</v>
      </c>
      <c r="U99" s="92">
        <f t="shared" si="11"/>
        <v>615</v>
      </c>
      <c r="V99" s="27">
        <f t="shared" si="11"/>
        <v>13132</v>
      </c>
    </row>
    <row r="100" spans="1:22" ht="11.25" customHeight="1">
      <c r="A100" s="161"/>
      <c r="B100" s="170"/>
      <c r="C100" s="133"/>
      <c r="D100" s="95" t="s">
        <v>69</v>
      </c>
      <c r="E100" s="92">
        <f>2167+952</f>
        <v>3119</v>
      </c>
      <c r="F100" s="92">
        <f>35297+24627</f>
        <v>59924</v>
      </c>
      <c r="G100" s="92">
        <f>44426+21437</f>
        <v>65863</v>
      </c>
      <c r="H100" s="92">
        <f>50002+22674</f>
        <v>72676</v>
      </c>
      <c r="I100" s="92">
        <f>328+287</f>
        <v>615</v>
      </c>
      <c r="J100" s="92">
        <f>909+175</f>
        <v>1084</v>
      </c>
      <c r="K100" s="92">
        <f>1656+1602</f>
        <v>3258</v>
      </c>
      <c r="L100" s="92">
        <f>52766+29355</f>
        <v>82121</v>
      </c>
      <c r="M100" s="92">
        <f>21723+12754</f>
        <v>34477</v>
      </c>
      <c r="N100" s="92">
        <f>25815+13551</f>
        <v>39366</v>
      </c>
      <c r="O100" s="92">
        <f>9333+8996</f>
        <v>18329</v>
      </c>
      <c r="P100" s="92">
        <f>1351+574</f>
        <v>1925</v>
      </c>
      <c r="Q100" s="92">
        <v>0</v>
      </c>
      <c r="R100" s="92">
        <f>1236+2678</f>
        <v>3914</v>
      </c>
      <c r="S100" s="92">
        <v>0</v>
      </c>
      <c r="T100" s="92">
        <v>0</v>
      </c>
      <c r="U100" s="92">
        <f>279+233</f>
        <v>512</v>
      </c>
      <c r="V100" s="27">
        <f>8756+3782</f>
        <v>12538</v>
      </c>
    </row>
    <row r="101" spans="1:22" ht="11.25" customHeight="1">
      <c r="A101" s="161"/>
      <c r="B101" s="171"/>
      <c r="C101" s="134"/>
      <c r="D101" s="96" t="s">
        <v>73</v>
      </c>
      <c r="E101" s="77">
        <f>50+22</f>
        <v>72</v>
      </c>
      <c r="F101" s="77">
        <f>746+481</f>
        <v>1227</v>
      </c>
      <c r="G101" s="77">
        <f>1846+794</f>
        <v>2640</v>
      </c>
      <c r="H101" s="77">
        <f>854+768</f>
        <v>1622</v>
      </c>
      <c r="I101" s="77">
        <f>76+151</f>
        <v>227</v>
      </c>
      <c r="J101" s="77">
        <v>52</v>
      </c>
      <c r="K101" s="77">
        <f>380+516</f>
        <v>896</v>
      </c>
      <c r="L101" s="77">
        <f>2472+3616</f>
        <v>6088</v>
      </c>
      <c r="M101" s="77">
        <f>914+516</f>
        <v>1430</v>
      </c>
      <c r="N101" s="77">
        <f>1158+374</f>
        <v>1532</v>
      </c>
      <c r="O101" s="77">
        <f>175+148</f>
        <v>323</v>
      </c>
      <c r="P101" s="77">
        <f>38+43</f>
        <v>81</v>
      </c>
      <c r="Q101" s="77">
        <v>0</v>
      </c>
      <c r="R101" s="77">
        <f>138+210</f>
        <v>348</v>
      </c>
      <c r="S101" s="77">
        <v>0</v>
      </c>
      <c r="T101" s="77">
        <v>0</v>
      </c>
      <c r="U101" s="77">
        <f>76+27</f>
        <v>103</v>
      </c>
      <c r="V101" s="97">
        <f>260+334</f>
        <v>594</v>
      </c>
    </row>
    <row r="102" spans="1:22" ht="11.25" customHeight="1">
      <c r="A102" s="161"/>
      <c r="B102" s="172" t="s">
        <v>130</v>
      </c>
      <c r="C102" s="158" t="s">
        <v>128</v>
      </c>
      <c r="D102" s="159"/>
      <c r="E102" s="92">
        <f>4+1</f>
        <v>5</v>
      </c>
      <c r="F102" s="92">
        <f>61+43</f>
        <v>104</v>
      </c>
      <c r="G102" s="92">
        <f>235+112</f>
        <v>347</v>
      </c>
      <c r="H102" s="92">
        <f>133+108</f>
        <v>241</v>
      </c>
      <c r="I102" s="92">
        <v>2</v>
      </c>
      <c r="J102" s="92">
        <v>0</v>
      </c>
      <c r="K102" s="92">
        <f>3+1</f>
        <v>4</v>
      </c>
      <c r="L102" s="92">
        <f>265+108</f>
        <v>373</v>
      </c>
      <c r="M102" s="92">
        <f>226+406</f>
        <v>632</v>
      </c>
      <c r="N102" s="92">
        <f>121+81</f>
        <v>202</v>
      </c>
      <c r="O102" s="92">
        <f>116+78</f>
        <v>194</v>
      </c>
      <c r="P102" s="92">
        <f>5+1</f>
        <v>6</v>
      </c>
      <c r="Q102" s="92">
        <v>1</v>
      </c>
      <c r="R102" s="92">
        <f>3+2</f>
        <v>5</v>
      </c>
      <c r="S102" s="92">
        <v>0</v>
      </c>
      <c r="T102" s="92">
        <v>0</v>
      </c>
      <c r="U102" s="92">
        <f>1</f>
        <v>1</v>
      </c>
      <c r="V102" s="27">
        <f>4+4</f>
        <v>8</v>
      </c>
    </row>
    <row r="103" spans="1:22" ht="11.25" customHeight="1">
      <c r="A103" s="161"/>
      <c r="B103" s="170"/>
      <c r="C103" s="160" t="s">
        <v>129</v>
      </c>
      <c r="D103" s="161"/>
      <c r="E103" s="92">
        <f>E104+E105</f>
        <v>844</v>
      </c>
      <c r="F103" s="92">
        <f t="shared" ref="F103:V103" si="12">F104+F105</f>
        <v>35097</v>
      </c>
      <c r="G103" s="92">
        <f t="shared" si="12"/>
        <v>6328</v>
      </c>
      <c r="H103" s="92">
        <f t="shared" si="12"/>
        <v>17035</v>
      </c>
      <c r="I103" s="92">
        <f t="shared" si="12"/>
        <v>8</v>
      </c>
      <c r="J103" s="92">
        <f t="shared" si="12"/>
        <v>0</v>
      </c>
      <c r="K103" s="92">
        <f t="shared" si="12"/>
        <v>136</v>
      </c>
      <c r="L103" s="92">
        <f t="shared" si="12"/>
        <v>8800</v>
      </c>
      <c r="M103" s="92">
        <f t="shared" si="12"/>
        <v>20732</v>
      </c>
      <c r="N103" s="92">
        <f t="shared" si="12"/>
        <v>6902</v>
      </c>
      <c r="O103" s="92">
        <f t="shared" si="12"/>
        <v>9704</v>
      </c>
      <c r="P103" s="92">
        <f t="shared" si="12"/>
        <v>148</v>
      </c>
      <c r="Q103" s="92">
        <f t="shared" si="12"/>
        <v>236</v>
      </c>
      <c r="R103" s="92">
        <f t="shared" si="12"/>
        <v>119</v>
      </c>
      <c r="S103" s="92">
        <f t="shared" si="12"/>
        <v>0</v>
      </c>
      <c r="T103" s="92">
        <f t="shared" si="12"/>
        <v>0</v>
      </c>
      <c r="U103" s="92">
        <f t="shared" si="12"/>
        <v>4</v>
      </c>
      <c r="V103" s="27">
        <f t="shared" si="12"/>
        <v>560</v>
      </c>
    </row>
    <row r="104" spans="1:22" ht="11.25" customHeight="1">
      <c r="A104" s="161"/>
      <c r="B104" s="170"/>
      <c r="C104" s="133"/>
      <c r="D104" s="95" t="s">
        <v>69</v>
      </c>
      <c r="E104" s="92">
        <f>824+18</f>
        <v>842</v>
      </c>
      <c r="F104" s="92">
        <f>17359+16703</f>
        <v>34062</v>
      </c>
      <c r="G104" s="92">
        <f>4130+1993</f>
        <v>6123</v>
      </c>
      <c r="H104" s="92">
        <f>8530+8075</f>
        <v>16605</v>
      </c>
      <c r="I104" s="92">
        <v>4</v>
      </c>
      <c r="J104" s="92">
        <v>0</v>
      </c>
      <c r="K104" s="92">
        <f>66+28</f>
        <v>94</v>
      </c>
      <c r="L104" s="92">
        <f>6138+2301</f>
        <v>8439</v>
      </c>
      <c r="M104" s="92">
        <f>13129+7042</f>
        <v>20171</v>
      </c>
      <c r="N104" s="92">
        <f>3686+3041</f>
        <v>6727</v>
      </c>
      <c r="O104" s="92">
        <f>5497+3921</f>
        <v>9418</v>
      </c>
      <c r="P104" s="92">
        <f>114+19</f>
        <v>133</v>
      </c>
      <c r="Q104" s="92">
        <v>236</v>
      </c>
      <c r="R104" s="92">
        <f>56+60</f>
        <v>116</v>
      </c>
      <c r="S104" s="92">
        <v>0</v>
      </c>
      <c r="T104" s="92">
        <v>0</v>
      </c>
      <c r="U104" s="92">
        <v>4</v>
      </c>
      <c r="V104" s="27">
        <f>151+353</f>
        <v>504</v>
      </c>
    </row>
    <row r="105" spans="1:22" ht="11.25" customHeight="1">
      <c r="A105" s="161"/>
      <c r="B105" s="171"/>
      <c r="C105" s="134"/>
      <c r="D105" s="96" t="s">
        <v>73</v>
      </c>
      <c r="E105" s="77">
        <f>0+2</f>
        <v>2</v>
      </c>
      <c r="F105" s="77">
        <f>568+467</f>
        <v>1035</v>
      </c>
      <c r="G105" s="77">
        <f>126+79</f>
        <v>205</v>
      </c>
      <c r="H105" s="77">
        <f>177+253</f>
        <v>430</v>
      </c>
      <c r="I105" s="77">
        <v>4</v>
      </c>
      <c r="J105" s="77">
        <v>0</v>
      </c>
      <c r="K105" s="77">
        <f>18+24</f>
        <v>42</v>
      </c>
      <c r="L105" s="77">
        <f>274+87</f>
        <v>361</v>
      </c>
      <c r="M105" s="77">
        <f>349+212</f>
        <v>561</v>
      </c>
      <c r="N105" s="77">
        <f>107+68</f>
        <v>175</v>
      </c>
      <c r="O105" s="77">
        <f>155+131</f>
        <v>286</v>
      </c>
      <c r="P105" s="77">
        <f>13+2</f>
        <v>15</v>
      </c>
      <c r="Q105" s="77">
        <v>0</v>
      </c>
      <c r="R105" s="77">
        <f>1+2</f>
        <v>3</v>
      </c>
      <c r="S105" s="77">
        <v>0</v>
      </c>
      <c r="T105" s="77">
        <v>0</v>
      </c>
      <c r="U105" s="77">
        <v>0</v>
      </c>
      <c r="V105" s="97">
        <f>24+32</f>
        <v>56</v>
      </c>
    </row>
    <row r="106" spans="1:22" ht="11.25" customHeight="1">
      <c r="A106" s="197" t="s">
        <v>71</v>
      </c>
      <c r="B106" s="199" t="s">
        <v>183</v>
      </c>
      <c r="C106" s="158" t="s">
        <v>128</v>
      </c>
      <c r="D106" s="159"/>
      <c r="E106" s="92">
        <v>0</v>
      </c>
      <c r="F106" s="92">
        <v>0</v>
      </c>
      <c r="G106" s="92">
        <v>0</v>
      </c>
      <c r="H106" s="92">
        <v>0</v>
      </c>
      <c r="I106" s="92">
        <v>0</v>
      </c>
      <c r="J106" s="92">
        <v>0</v>
      </c>
      <c r="K106" s="92">
        <v>0</v>
      </c>
      <c r="L106" s="92">
        <v>0</v>
      </c>
      <c r="M106" s="92">
        <v>0</v>
      </c>
      <c r="N106" s="92">
        <v>0</v>
      </c>
      <c r="O106" s="92">
        <v>0</v>
      </c>
      <c r="P106" s="92">
        <v>0</v>
      </c>
      <c r="Q106" s="92">
        <v>0</v>
      </c>
      <c r="R106" s="92">
        <v>0</v>
      </c>
      <c r="S106" s="92">
        <v>0</v>
      </c>
      <c r="T106" s="92">
        <v>0</v>
      </c>
      <c r="U106" s="92">
        <v>0</v>
      </c>
      <c r="V106" s="27" t="s">
        <v>140</v>
      </c>
    </row>
    <row r="107" spans="1:22" ht="11.25" customHeight="1">
      <c r="A107" s="197"/>
      <c r="B107" s="197"/>
      <c r="C107" s="160" t="s">
        <v>129</v>
      </c>
      <c r="D107" s="161"/>
      <c r="E107" s="92">
        <v>0</v>
      </c>
      <c r="F107" s="92">
        <v>0</v>
      </c>
      <c r="G107" s="92">
        <v>0</v>
      </c>
      <c r="H107" s="92">
        <v>0</v>
      </c>
      <c r="I107" s="92">
        <v>0</v>
      </c>
      <c r="J107" s="92">
        <v>0</v>
      </c>
      <c r="K107" s="92">
        <v>0</v>
      </c>
      <c r="L107" s="92">
        <v>0</v>
      </c>
      <c r="M107" s="92">
        <v>0</v>
      </c>
      <c r="N107" s="92">
        <v>0</v>
      </c>
      <c r="O107" s="92">
        <v>0</v>
      </c>
      <c r="P107" s="92">
        <v>0</v>
      </c>
      <c r="Q107" s="92">
        <v>0</v>
      </c>
      <c r="R107" s="92">
        <v>0</v>
      </c>
      <c r="S107" s="92">
        <v>0</v>
      </c>
      <c r="T107" s="92">
        <v>0</v>
      </c>
      <c r="U107" s="92">
        <v>0</v>
      </c>
      <c r="V107" s="27">
        <v>0</v>
      </c>
    </row>
    <row r="108" spans="1:22" ht="11.25" customHeight="1">
      <c r="A108" s="197"/>
      <c r="B108" s="197"/>
      <c r="C108" s="133"/>
      <c r="D108" s="95" t="s">
        <v>69</v>
      </c>
      <c r="E108" s="92">
        <v>0</v>
      </c>
      <c r="F108" s="92">
        <v>0</v>
      </c>
      <c r="G108" s="92">
        <v>0</v>
      </c>
      <c r="H108" s="92">
        <v>0</v>
      </c>
      <c r="I108" s="92">
        <v>0</v>
      </c>
      <c r="J108" s="92">
        <v>0</v>
      </c>
      <c r="K108" s="92">
        <v>0</v>
      </c>
      <c r="L108" s="92">
        <v>0</v>
      </c>
      <c r="M108" s="92">
        <v>0</v>
      </c>
      <c r="N108" s="92">
        <v>0</v>
      </c>
      <c r="O108" s="92">
        <v>0</v>
      </c>
      <c r="P108" s="92">
        <v>0</v>
      </c>
      <c r="Q108" s="92">
        <v>0</v>
      </c>
      <c r="R108" s="92">
        <v>0</v>
      </c>
      <c r="S108" s="92">
        <v>0</v>
      </c>
      <c r="T108" s="92">
        <v>0</v>
      </c>
      <c r="U108" s="92">
        <v>0</v>
      </c>
      <c r="V108" s="27">
        <v>0</v>
      </c>
    </row>
    <row r="109" spans="1:22" ht="11.25" customHeight="1">
      <c r="A109" s="198"/>
      <c r="B109" s="198"/>
      <c r="C109" s="134"/>
      <c r="D109" s="102" t="s">
        <v>73</v>
      </c>
      <c r="E109" s="77">
        <v>0</v>
      </c>
      <c r="F109" s="77">
        <v>0</v>
      </c>
      <c r="G109" s="77">
        <v>0</v>
      </c>
      <c r="H109" s="77">
        <v>0</v>
      </c>
      <c r="I109" s="77">
        <v>0</v>
      </c>
      <c r="J109" s="77">
        <v>0</v>
      </c>
      <c r="K109" s="77">
        <v>0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97">
        <v>0</v>
      </c>
    </row>
    <row r="110" spans="1:22" ht="11.25" customHeight="1">
      <c r="A110" s="199" t="s">
        <v>195</v>
      </c>
      <c r="B110" s="131" t="s">
        <v>125</v>
      </c>
      <c r="C110" s="200" t="s">
        <v>181</v>
      </c>
      <c r="D110" s="201"/>
      <c r="E110" s="92">
        <f>E112+E116</f>
        <v>20</v>
      </c>
      <c r="F110" s="92">
        <f t="shared" ref="F110:V110" si="13">F112+F116</f>
        <v>203</v>
      </c>
      <c r="G110" s="92">
        <f t="shared" si="13"/>
        <v>964</v>
      </c>
      <c r="H110" s="92">
        <f t="shared" si="13"/>
        <v>397</v>
      </c>
      <c r="I110" s="92">
        <f t="shared" si="13"/>
        <v>110</v>
      </c>
      <c r="J110" s="92">
        <f t="shared" si="13"/>
        <v>7</v>
      </c>
      <c r="K110" s="92">
        <f t="shared" si="13"/>
        <v>135</v>
      </c>
      <c r="L110" s="92">
        <f t="shared" si="13"/>
        <v>1505</v>
      </c>
      <c r="M110" s="92">
        <f t="shared" si="13"/>
        <v>901</v>
      </c>
      <c r="N110" s="92">
        <f t="shared" si="13"/>
        <v>289</v>
      </c>
      <c r="O110" s="92">
        <f t="shared" si="13"/>
        <v>245</v>
      </c>
      <c r="P110" s="92">
        <f t="shared" si="13"/>
        <v>32</v>
      </c>
      <c r="Q110" s="92">
        <f t="shared" si="13"/>
        <v>2</v>
      </c>
      <c r="R110" s="92">
        <f t="shared" si="13"/>
        <v>45</v>
      </c>
      <c r="S110" s="92">
        <f t="shared" si="13"/>
        <v>0</v>
      </c>
      <c r="T110" s="92">
        <f t="shared" si="13"/>
        <v>0</v>
      </c>
      <c r="U110" s="92">
        <f t="shared" si="13"/>
        <v>51</v>
      </c>
      <c r="V110" s="94">
        <f t="shared" si="13"/>
        <v>22</v>
      </c>
    </row>
    <row r="111" spans="1:22" ht="11.25" customHeight="1">
      <c r="A111" s="197"/>
      <c r="B111" s="93" t="s">
        <v>126</v>
      </c>
      <c r="C111" s="202" t="s">
        <v>182</v>
      </c>
      <c r="D111" s="203"/>
      <c r="E111" s="92">
        <f>E113+E117</f>
        <v>9869</v>
      </c>
      <c r="F111" s="92">
        <f t="shared" ref="F111:V111" si="14">F113+F117</f>
        <v>105896</v>
      </c>
      <c r="G111" s="92">
        <f t="shared" si="14"/>
        <v>66621</v>
      </c>
      <c r="H111" s="92">
        <f t="shared" si="14"/>
        <v>86764</v>
      </c>
      <c r="I111" s="92">
        <f t="shared" si="14"/>
        <v>924</v>
      </c>
      <c r="J111" s="92">
        <f t="shared" si="14"/>
        <v>1258</v>
      </c>
      <c r="K111" s="92">
        <f t="shared" si="14"/>
        <v>4436</v>
      </c>
      <c r="L111" s="92">
        <f t="shared" si="14"/>
        <v>101839</v>
      </c>
      <c r="M111" s="92">
        <f t="shared" si="14"/>
        <v>83729</v>
      </c>
      <c r="N111" s="92">
        <f t="shared" si="14"/>
        <v>38244</v>
      </c>
      <c r="O111" s="92">
        <f t="shared" si="14"/>
        <v>34184</v>
      </c>
      <c r="P111" s="92">
        <f t="shared" si="14"/>
        <v>5040</v>
      </c>
      <c r="Q111" s="92">
        <f t="shared" si="14"/>
        <v>785</v>
      </c>
      <c r="R111" s="92">
        <f t="shared" si="14"/>
        <v>3982</v>
      </c>
      <c r="S111" s="92">
        <f t="shared" si="14"/>
        <v>0</v>
      </c>
      <c r="T111" s="92">
        <f t="shared" si="14"/>
        <v>0</v>
      </c>
      <c r="U111" s="92">
        <f t="shared" si="14"/>
        <v>605</v>
      </c>
      <c r="V111" s="27">
        <f t="shared" si="14"/>
        <v>9550</v>
      </c>
    </row>
    <row r="112" spans="1:22" ht="11.25" customHeight="1">
      <c r="A112" s="161">
        <v>6</v>
      </c>
      <c r="B112" s="172" t="s">
        <v>127</v>
      </c>
      <c r="C112" s="158" t="s">
        <v>128</v>
      </c>
      <c r="D112" s="159"/>
      <c r="E112" s="75">
        <f>10+5</f>
        <v>15</v>
      </c>
      <c r="F112" s="75">
        <f>42+26</f>
        <v>68</v>
      </c>
      <c r="G112" s="75">
        <f>434+187</f>
        <v>621</v>
      </c>
      <c r="H112" s="75">
        <f>82+47</f>
        <v>129</v>
      </c>
      <c r="I112" s="75">
        <f>47+63</f>
        <v>110</v>
      </c>
      <c r="J112" s="75">
        <f>5+2</f>
        <v>7</v>
      </c>
      <c r="K112" s="75">
        <f>62+63</f>
        <v>125</v>
      </c>
      <c r="L112" s="75">
        <f>740+356</f>
        <v>1096</v>
      </c>
      <c r="M112" s="75">
        <f>99+69</f>
        <v>168</v>
      </c>
      <c r="N112" s="75">
        <f>51+37</f>
        <v>88</v>
      </c>
      <c r="O112" s="75">
        <f>23+18</f>
        <v>41</v>
      </c>
      <c r="P112" s="75">
        <f>18+4</f>
        <v>22</v>
      </c>
      <c r="Q112" s="75">
        <v>0</v>
      </c>
      <c r="R112" s="75">
        <f>21+17</f>
        <v>38</v>
      </c>
      <c r="S112" s="75">
        <v>0</v>
      </c>
      <c r="T112" s="75">
        <v>0</v>
      </c>
      <c r="U112" s="75">
        <f>31+18</f>
        <v>49</v>
      </c>
      <c r="V112" s="94">
        <f>9+3</f>
        <v>12</v>
      </c>
    </row>
    <row r="113" spans="1:22" ht="11.25" customHeight="1">
      <c r="A113" s="161"/>
      <c r="B113" s="170"/>
      <c r="C113" s="160" t="s">
        <v>129</v>
      </c>
      <c r="D113" s="161"/>
      <c r="E113" s="92">
        <f>E114+E115</f>
        <v>8008</v>
      </c>
      <c r="F113" s="92">
        <f t="shared" ref="F113:J113" si="15">F114+F115</f>
        <v>58750</v>
      </c>
      <c r="G113" s="92">
        <f t="shared" si="15"/>
        <v>59904</v>
      </c>
      <c r="H113" s="92">
        <f t="shared" si="15"/>
        <v>67562</v>
      </c>
      <c r="I113" s="92">
        <f t="shared" si="15"/>
        <v>924</v>
      </c>
      <c r="J113" s="92">
        <f t="shared" si="15"/>
        <v>1258</v>
      </c>
      <c r="K113" s="92">
        <f>K114+K115</f>
        <v>4290</v>
      </c>
      <c r="L113" s="92">
        <f t="shared" ref="L113:V113" si="16">L114+L115</f>
        <v>90565</v>
      </c>
      <c r="M113" s="92">
        <f t="shared" si="16"/>
        <v>51200</v>
      </c>
      <c r="N113" s="92">
        <f t="shared" si="16"/>
        <v>30447</v>
      </c>
      <c r="O113" s="92">
        <f>O114+O115</f>
        <v>18854</v>
      </c>
      <c r="P113" s="92">
        <f t="shared" si="16"/>
        <v>4860</v>
      </c>
      <c r="Q113" s="92">
        <f t="shared" si="16"/>
        <v>0</v>
      </c>
      <c r="R113" s="92">
        <f t="shared" si="16"/>
        <v>3826</v>
      </c>
      <c r="S113" s="92">
        <f t="shared" si="16"/>
        <v>0</v>
      </c>
      <c r="T113" s="92">
        <f t="shared" si="16"/>
        <v>0</v>
      </c>
      <c r="U113" s="92">
        <f t="shared" si="16"/>
        <v>599</v>
      </c>
      <c r="V113" s="27">
        <f t="shared" si="16"/>
        <v>8820</v>
      </c>
    </row>
    <row r="114" spans="1:22" ht="11.25" customHeight="1">
      <c r="A114" s="161"/>
      <c r="B114" s="170"/>
      <c r="C114" s="133"/>
      <c r="D114" s="95" t="s">
        <v>69</v>
      </c>
      <c r="E114" s="92">
        <f>5788+2001</f>
        <v>7789</v>
      </c>
      <c r="F114" s="92">
        <f>31238+26360</f>
        <v>57598</v>
      </c>
      <c r="G114" s="92">
        <f>38813+18622</f>
        <v>57435</v>
      </c>
      <c r="H114" s="92">
        <f>41269+24771</f>
        <v>66040</v>
      </c>
      <c r="I114" s="92">
        <f>277+393</f>
        <v>670</v>
      </c>
      <c r="J114" s="92">
        <f>1049+166</f>
        <v>1215</v>
      </c>
      <c r="K114" s="92">
        <f>1723+1676</f>
        <v>3399</v>
      </c>
      <c r="L114" s="92">
        <f>55027+28960</f>
        <v>83987</v>
      </c>
      <c r="M114" s="92">
        <f>30981+18369</f>
        <v>49350</v>
      </c>
      <c r="N114" s="92">
        <f>17498+12145</f>
        <v>29643</v>
      </c>
      <c r="O114" s="92">
        <f>9404+8988</f>
        <v>18392</v>
      </c>
      <c r="P114" s="92">
        <f>4173+448</f>
        <v>4621</v>
      </c>
      <c r="Q114" s="92">
        <v>0</v>
      </c>
      <c r="R114" s="92">
        <f>1183+2368</f>
        <v>3551</v>
      </c>
      <c r="S114" s="92">
        <v>0</v>
      </c>
      <c r="T114" s="92">
        <v>0</v>
      </c>
      <c r="U114" s="92">
        <f>290+237</f>
        <v>527</v>
      </c>
      <c r="V114" s="27">
        <f>6988+1483</f>
        <v>8471</v>
      </c>
    </row>
    <row r="115" spans="1:22" ht="11.25" customHeight="1">
      <c r="A115" s="161"/>
      <c r="B115" s="171"/>
      <c r="C115" s="134"/>
      <c r="D115" s="96" t="s">
        <v>73</v>
      </c>
      <c r="E115" s="77">
        <f>134+85</f>
        <v>219</v>
      </c>
      <c r="F115" s="77">
        <f>706+446</f>
        <v>1152</v>
      </c>
      <c r="G115" s="77">
        <f>1630+839</f>
        <v>2469</v>
      </c>
      <c r="H115" s="77">
        <f>997+525</f>
        <v>1522</v>
      </c>
      <c r="I115" s="77">
        <f>73+181</f>
        <v>254</v>
      </c>
      <c r="J115" s="92">
        <f>35+8</f>
        <v>43</v>
      </c>
      <c r="K115" s="77">
        <f>262+629</f>
        <v>891</v>
      </c>
      <c r="L115" s="77">
        <f>3193+3385</f>
        <v>6578</v>
      </c>
      <c r="M115" s="77">
        <f>1225+625</f>
        <v>1850</v>
      </c>
      <c r="N115" s="77">
        <f>438+366</f>
        <v>804</v>
      </c>
      <c r="O115" s="77">
        <f>212+250</f>
        <v>462</v>
      </c>
      <c r="P115" s="77">
        <f>189+50</f>
        <v>239</v>
      </c>
      <c r="Q115" s="77">
        <v>0</v>
      </c>
      <c r="R115" s="77">
        <f>62+213</f>
        <v>275</v>
      </c>
      <c r="S115" s="77">
        <v>0</v>
      </c>
      <c r="T115" s="77">
        <v>0</v>
      </c>
      <c r="U115" s="77">
        <f>33+39</f>
        <v>72</v>
      </c>
      <c r="V115" s="97">
        <f>260+89</f>
        <v>349</v>
      </c>
    </row>
    <row r="116" spans="1:22" ht="11.25" customHeight="1">
      <c r="A116" s="161"/>
      <c r="B116" s="172" t="s">
        <v>130</v>
      </c>
      <c r="C116" s="158" t="s">
        <v>128</v>
      </c>
      <c r="D116" s="159"/>
      <c r="E116" s="92">
        <f>5+0</f>
        <v>5</v>
      </c>
      <c r="F116" s="92">
        <f>71+64</f>
        <v>135</v>
      </c>
      <c r="G116" s="92">
        <f>221+122</f>
        <v>343</v>
      </c>
      <c r="H116" s="92">
        <f>171+97</f>
        <v>268</v>
      </c>
      <c r="I116" s="92">
        <v>0</v>
      </c>
      <c r="J116" s="92">
        <v>0</v>
      </c>
      <c r="K116" s="92">
        <f>5+5</f>
        <v>10</v>
      </c>
      <c r="L116" s="92">
        <f>285+124</f>
        <v>409</v>
      </c>
      <c r="M116" s="92">
        <f>412+321</f>
        <v>733</v>
      </c>
      <c r="N116" s="92">
        <f>109+92</f>
        <v>201</v>
      </c>
      <c r="O116" s="92">
        <f>115+89</f>
        <v>204</v>
      </c>
      <c r="P116" s="92">
        <f>7+3</f>
        <v>10</v>
      </c>
      <c r="Q116" s="92">
        <v>2</v>
      </c>
      <c r="R116" s="92">
        <f>6+1</f>
        <v>7</v>
      </c>
      <c r="S116" s="92">
        <v>0</v>
      </c>
      <c r="T116" s="92">
        <v>0</v>
      </c>
      <c r="U116" s="92">
        <f>2</f>
        <v>2</v>
      </c>
      <c r="V116" s="27">
        <f>5+5</f>
        <v>10</v>
      </c>
    </row>
    <row r="117" spans="1:22" ht="11.25" customHeight="1">
      <c r="A117" s="161"/>
      <c r="B117" s="170"/>
      <c r="C117" s="160" t="s">
        <v>129</v>
      </c>
      <c r="D117" s="161"/>
      <c r="E117" s="92">
        <f>E118+E119</f>
        <v>1861</v>
      </c>
      <c r="F117" s="92">
        <f t="shared" ref="F117:V117" si="17">F118+F119</f>
        <v>47146</v>
      </c>
      <c r="G117" s="92">
        <f t="shared" si="17"/>
        <v>6717</v>
      </c>
      <c r="H117" s="92">
        <f t="shared" si="17"/>
        <v>19202</v>
      </c>
      <c r="I117" s="92">
        <f t="shared" si="17"/>
        <v>0</v>
      </c>
      <c r="J117" s="92">
        <f t="shared" si="17"/>
        <v>0</v>
      </c>
      <c r="K117" s="92">
        <f t="shared" si="17"/>
        <v>146</v>
      </c>
      <c r="L117" s="92">
        <f t="shared" si="17"/>
        <v>11274</v>
      </c>
      <c r="M117" s="92">
        <f t="shared" si="17"/>
        <v>32529</v>
      </c>
      <c r="N117" s="92">
        <f t="shared" si="17"/>
        <v>7797</v>
      </c>
      <c r="O117" s="92">
        <f t="shared" si="17"/>
        <v>15330</v>
      </c>
      <c r="P117" s="92">
        <f t="shared" si="17"/>
        <v>180</v>
      </c>
      <c r="Q117" s="92">
        <f t="shared" si="17"/>
        <v>785</v>
      </c>
      <c r="R117" s="92">
        <f t="shared" si="17"/>
        <v>156</v>
      </c>
      <c r="S117" s="92">
        <f t="shared" si="17"/>
        <v>0</v>
      </c>
      <c r="T117" s="92">
        <f t="shared" si="17"/>
        <v>0</v>
      </c>
      <c r="U117" s="92">
        <f t="shared" si="17"/>
        <v>6</v>
      </c>
      <c r="V117" s="27">
        <f t="shared" si="17"/>
        <v>730</v>
      </c>
    </row>
    <row r="118" spans="1:22" ht="11.25" customHeight="1">
      <c r="A118" s="161"/>
      <c r="B118" s="170"/>
      <c r="C118" s="133"/>
      <c r="D118" s="95" t="s">
        <v>69</v>
      </c>
      <c r="E118" s="92">
        <f>1733+0</f>
        <v>1733</v>
      </c>
      <c r="F118" s="92">
        <f>22377+23399</f>
        <v>45776</v>
      </c>
      <c r="G118" s="92">
        <f>4218+2281</f>
        <v>6499</v>
      </c>
      <c r="H118" s="92">
        <f>11839+6940</f>
        <v>18779</v>
      </c>
      <c r="I118" s="92">
        <v>0</v>
      </c>
      <c r="J118" s="92">
        <v>0</v>
      </c>
      <c r="K118" s="92">
        <f>84+46</f>
        <v>130</v>
      </c>
      <c r="L118" s="92">
        <f>6732+3891</f>
        <v>10623</v>
      </c>
      <c r="M118" s="92">
        <f>18739+12978</f>
        <v>31717</v>
      </c>
      <c r="N118" s="92">
        <f>4362+3270</f>
        <v>7632</v>
      </c>
      <c r="O118" s="92">
        <f>9205+6023</f>
        <v>15228</v>
      </c>
      <c r="P118" s="92">
        <f>131+36</f>
        <v>167</v>
      </c>
      <c r="Q118" s="92">
        <v>761</v>
      </c>
      <c r="R118" s="92">
        <f>106+45</f>
        <v>151</v>
      </c>
      <c r="S118" s="92">
        <v>0</v>
      </c>
      <c r="T118" s="92">
        <v>0</v>
      </c>
      <c r="U118" s="92">
        <v>6</v>
      </c>
      <c r="V118" s="27">
        <f>397+205</f>
        <v>602</v>
      </c>
    </row>
    <row r="119" spans="1:22" ht="11.25" customHeight="1">
      <c r="A119" s="161"/>
      <c r="B119" s="171"/>
      <c r="C119" s="134"/>
      <c r="D119" s="96" t="s">
        <v>73</v>
      </c>
      <c r="E119" s="77">
        <f>128+0</f>
        <v>128</v>
      </c>
      <c r="F119" s="77">
        <f>511+859</f>
        <v>1370</v>
      </c>
      <c r="G119" s="77">
        <f>153+65</f>
        <v>218</v>
      </c>
      <c r="H119" s="77">
        <f>217+206</f>
        <v>423</v>
      </c>
      <c r="I119" s="77">
        <v>0</v>
      </c>
      <c r="J119" s="77">
        <v>0</v>
      </c>
      <c r="K119" s="77">
        <f>14+2</f>
        <v>16</v>
      </c>
      <c r="L119" s="77">
        <f>421+230</f>
        <v>651</v>
      </c>
      <c r="M119" s="77">
        <f>510+302</f>
        <v>812</v>
      </c>
      <c r="N119" s="77">
        <f>104+61</f>
        <v>165</v>
      </c>
      <c r="O119" s="77">
        <f>51+51</f>
        <v>102</v>
      </c>
      <c r="P119" s="77">
        <f>9+4</f>
        <v>13</v>
      </c>
      <c r="Q119" s="77">
        <v>24</v>
      </c>
      <c r="R119" s="77">
        <f>5+0</f>
        <v>5</v>
      </c>
      <c r="S119" s="77">
        <v>0</v>
      </c>
      <c r="T119" s="77">
        <v>0</v>
      </c>
      <c r="U119" s="77">
        <v>0</v>
      </c>
      <c r="V119" s="97">
        <f>8+120</f>
        <v>128</v>
      </c>
    </row>
    <row r="120" spans="1:22" ht="11.25" customHeight="1">
      <c r="A120" s="197" t="s">
        <v>71</v>
      </c>
      <c r="B120" s="199" t="s">
        <v>183</v>
      </c>
      <c r="C120" s="158" t="s">
        <v>128</v>
      </c>
      <c r="D120" s="159"/>
      <c r="E120" s="92">
        <v>0</v>
      </c>
      <c r="F120" s="92">
        <v>0</v>
      </c>
      <c r="G120" s="92">
        <v>0</v>
      </c>
      <c r="H120" s="92">
        <v>0</v>
      </c>
      <c r="I120" s="92">
        <v>0</v>
      </c>
      <c r="J120" s="92">
        <v>0</v>
      </c>
      <c r="K120" s="92">
        <v>0</v>
      </c>
      <c r="L120" s="92">
        <v>0</v>
      </c>
      <c r="M120" s="92">
        <v>0</v>
      </c>
      <c r="N120" s="92">
        <v>0</v>
      </c>
      <c r="O120" s="92">
        <v>0</v>
      </c>
      <c r="P120" s="92">
        <v>0</v>
      </c>
      <c r="Q120" s="92">
        <v>0</v>
      </c>
      <c r="R120" s="92">
        <v>0</v>
      </c>
      <c r="S120" s="92">
        <v>0</v>
      </c>
      <c r="T120" s="92">
        <v>0</v>
      </c>
      <c r="U120" s="92">
        <v>0</v>
      </c>
      <c r="V120" s="27" t="s">
        <v>140</v>
      </c>
    </row>
    <row r="121" spans="1:22" ht="11.25" customHeight="1">
      <c r="A121" s="197"/>
      <c r="B121" s="197"/>
      <c r="C121" s="160" t="s">
        <v>129</v>
      </c>
      <c r="D121" s="161"/>
      <c r="E121" s="92">
        <v>0</v>
      </c>
      <c r="F121" s="92">
        <v>0</v>
      </c>
      <c r="G121" s="92">
        <v>0</v>
      </c>
      <c r="H121" s="92">
        <v>0</v>
      </c>
      <c r="I121" s="92">
        <v>0</v>
      </c>
      <c r="J121" s="92">
        <v>0</v>
      </c>
      <c r="K121" s="92">
        <v>0</v>
      </c>
      <c r="L121" s="92">
        <v>0</v>
      </c>
      <c r="M121" s="92">
        <v>0</v>
      </c>
      <c r="N121" s="92">
        <v>0</v>
      </c>
      <c r="O121" s="92">
        <v>0</v>
      </c>
      <c r="P121" s="92">
        <v>0</v>
      </c>
      <c r="Q121" s="92">
        <v>0</v>
      </c>
      <c r="R121" s="92">
        <v>0</v>
      </c>
      <c r="S121" s="92">
        <v>0</v>
      </c>
      <c r="T121" s="92">
        <v>0</v>
      </c>
      <c r="U121" s="92">
        <v>0</v>
      </c>
      <c r="V121" s="27">
        <v>0</v>
      </c>
    </row>
    <row r="122" spans="1:22" ht="11.25" customHeight="1">
      <c r="A122" s="197"/>
      <c r="B122" s="197"/>
      <c r="C122" s="133"/>
      <c r="D122" s="95" t="s">
        <v>69</v>
      </c>
      <c r="E122" s="92">
        <v>0</v>
      </c>
      <c r="F122" s="92">
        <v>0</v>
      </c>
      <c r="G122" s="92">
        <v>0</v>
      </c>
      <c r="H122" s="92">
        <v>0</v>
      </c>
      <c r="I122" s="92">
        <v>0</v>
      </c>
      <c r="J122" s="92">
        <v>0</v>
      </c>
      <c r="K122" s="92">
        <v>0</v>
      </c>
      <c r="L122" s="92">
        <v>0</v>
      </c>
      <c r="M122" s="92">
        <v>0</v>
      </c>
      <c r="N122" s="92">
        <v>0</v>
      </c>
      <c r="O122" s="92">
        <v>0</v>
      </c>
      <c r="P122" s="92">
        <v>0</v>
      </c>
      <c r="Q122" s="92">
        <v>0</v>
      </c>
      <c r="R122" s="92">
        <v>0</v>
      </c>
      <c r="S122" s="92">
        <v>0</v>
      </c>
      <c r="T122" s="92">
        <v>0</v>
      </c>
      <c r="U122" s="92">
        <v>0</v>
      </c>
      <c r="V122" s="27">
        <v>0</v>
      </c>
    </row>
    <row r="123" spans="1:22" ht="11.25" customHeight="1">
      <c r="A123" s="198"/>
      <c r="B123" s="198"/>
      <c r="C123" s="134"/>
      <c r="D123" s="102" t="s">
        <v>73</v>
      </c>
      <c r="E123" s="77">
        <v>0</v>
      </c>
      <c r="F123" s="77">
        <v>0</v>
      </c>
      <c r="G123" s="77">
        <v>0</v>
      </c>
      <c r="H123" s="77">
        <v>0</v>
      </c>
      <c r="I123" s="77">
        <v>0</v>
      </c>
      <c r="J123" s="77">
        <v>0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97">
        <v>0</v>
      </c>
    </row>
  </sheetData>
  <mergeCells count="127">
    <mergeCell ref="A120:A123"/>
    <mergeCell ref="B120:B123"/>
    <mergeCell ref="C120:D120"/>
    <mergeCell ref="C121:D121"/>
    <mergeCell ref="A110:A111"/>
    <mergeCell ref="C110:D110"/>
    <mergeCell ref="C111:D111"/>
    <mergeCell ref="A112:A119"/>
    <mergeCell ref="B112:B115"/>
    <mergeCell ref="C112:D112"/>
    <mergeCell ref="C113:D113"/>
    <mergeCell ref="B116:B119"/>
    <mergeCell ref="C116:D116"/>
    <mergeCell ref="C117:D117"/>
    <mergeCell ref="M3:N3"/>
    <mergeCell ref="E4:E5"/>
    <mergeCell ref="F4:F5"/>
    <mergeCell ref="M4:M5"/>
    <mergeCell ref="N4:N5"/>
    <mergeCell ref="A6:A7"/>
    <mergeCell ref="C6:D6"/>
    <mergeCell ref="C7:D7"/>
    <mergeCell ref="A8:A11"/>
    <mergeCell ref="B8:B11"/>
    <mergeCell ref="C8:D8"/>
    <mergeCell ref="C9:D9"/>
    <mergeCell ref="A3:D5"/>
    <mergeCell ref="E3:F3"/>
    <mergeCell ref="A18:A21"/>
    <mergeCell ref="B18:B21"/>
    <mergeCell ref="C18:D18"/>
    <mergeCell ref="C19:D19"/>
    <mergeCell ref="A22:A25"/>
    <mergeCell ref="B22:B25"/>
    <mergeCell ref="C22:D22"/>
    <mergeCell ref="C23:D23"/>
    <mergeCell ref="A12:A15"/>
    <mergeCell ref="B12:B15"/>
    <mergeCell ref="C12:D12"/>
    <mergeCell ref="C13:D13"/>
    <mergeCell ref="A16:A17"/>
    <mergeCell ref="C16:D16"/>
    <mergeCell ref="C17:D17"/>
    <mergeCell ref="A36:A39"/>
    <mergeCell ref="B36:B39"/>
    <mergeCell ref="C36:D36"/>
    <mergeCell ref="C37:D37"/>
    <mergeCell ref="A40:A41"/>
    <mergeCell ref="C40:D40"/>
    <mergeCell ref="C41:D41"/>
    <mergeCell ref="A26:A27"/>
    <mergeCell ref="C26:D26"/>
    <mergeCell ref="C27:D27"/>
    <mergeCell ref="A28:A35"/>
    <mergeCell ref="B28:B31"/>
    <mergeCell ref="C28:D28"/>
    <mergeCell ref="C29:D29"/>
    <mergeCell ref="B32:B35"/>
    <mergeCell ref="C32:D32"/>
    <mergeCell ref="C33:D33"/>
    <mergeCell ref="A50:A53"/>
    <mergeCell ref="B50:B53"/>
    <mergeCell ref="C50:D50"/>
    <mergeCell ref="C51:D51"/>
    <mergeCell ref="A54:A55"/>
    <mergeCell ref="C54:D54"/>
    <mergeCell ref="C55:D55"/>
    <mergeCell ref="A42:A49"/>
    <mergeCell ref="B42:B45"/>
    <mergeCell ref="C42:D42"/>
    <mergeCell ref="C43:D43"/>
    <mergeCell ref="B46:B49"/>
    <mergeCell ref="C46:D46"/>
    <mergeCell ref="C47:D47"/>
    <mergeCell ref="A64:A67"/>
    <mergeCell ref="B64:B67"/>
    <mergeCell ref="C64:D64"/>
    <mergeCell ref="C65:D65"/>
    <mergeCell ref="A68:A69"/>
    <mergeCell ref="C68:D68"/>
    <mergeCell ref="C69:D69"/>
    <mergeCell ref="A56:A63"/>
    <mergeCell ref="B56:B59"/>
    <mergeCell ref="C56:D56"/>
    <mergeCell ref="C57:D57"/>
    <mergeCell ref="B60:B63"/>
    <mergeCell ref="C60:D60"/>
    <mergeCell ref="C61:D61"/>
    <mergeCell ref="A78:A81"/>
    <mergeCell ref="B78:B81"/>
    <mergeCell ref="C78:D78"/>
    <mergeCell ref="C79:D79"/>
    <mergeCell ref="A82:A83"/>
    <mergeCell ref="C82:D82"/>
    <mergeCell ref="C83:D83"/>
    <mergeCell ref="A70:A77"/>
    <mergeCell ref="B70:B73"/>
    <mergeCell ref="C70:D70"/>
    <mergeCell ref="C71:D71"/>
    <mergeCell ref="B74:B77"/>
    <mergeCell ref="C74:D74"/>
    <mergeCell ref="C75:D75"/>
    <mergeCell ref="A92:A95"/>
    <mergeCell ref="B92:B95"/>
    <mergeCell ref="C92:D92"/>
    <mergeCell ref="C93:D93"/>
    <mergeCell ref="A96:A97"/>
    <mergeCell ref="C96:D96"/>
    <mergeCell ref="C97:D97"/>
    <mergeCell ref="A84:A91"/>
    <mergeCell ref="B84:B87"/>
    <mergeCell ref="C84:D84"/>
    <mergeCell ref="C85:D85"/>
    <mergeCell ref="B88:B91"/>
    <mergeCell ref="C88:D88"/>
    <mergeCell ref="C89:D89"/>
    <mergeCell ref="A106:A109"/>
    <mergeCell ref="B106:B109"/>
    <mergeCell ref="C106:D106"/>
    <mergeCell ref="C107:D107"/>
    <mergeCell ref="A98:A105"/>
    <mergeCell ref="B98:B101"/>
    <mergeCell ref="C98:D98"/>
    <mergeCell ref="C99:D99"/>
    <mergeCell ref="B102:B105"/>
    <mergeCell ref="C102:D102"/>
    <mergeCell ref="C103:D103"/>
  </mergeCells>
  <phoneticPr fontId="2"/>
  <pageMargins left="1.0629921259842521" right="0.78740157480314965" top="0.98425196850393704" bottom="0.98425196850393704" header="0.51181102362204722" footer="0.51181102362204722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目次</vt:lpstr>
      <vt:lpstr>31-1</vt:lpstr>
      <vt:lpstr>31-2</vt:lpstr>
      <vt:lpstr>31-3 </vt:lpstr>
      <vt:lpstr>31-4</vt:lpstr>
      <vt:lpstr>31-5 </vt:lpstr>
      <vt:lpstr>31-6</vt:lpstr>
      <vt:lpstr>31-7</vt:lpstr>
      <vt:lpstr>'31-1'!Print_Area</vt:lpstr>
      <vt:lpstr>'31-2'!Print_Area</vt:lpstr>
      <vt:lpstr>'31-3 '!Print_Area</vt:lpstr>
      <vt:lpstr>目次!Print_Area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2022-03-17T01:40:38Z</cp:lastPrinted>
  <dcterms:created xsi:type="dcterms:W3CDTF">2015-01-15T00:09:23Z</dcterms:created>
  <dcterms:modified xsi:type="dcterms:W3CDTF">2026-03-12T05:27:25Z</dcterms:modified>
</cp:coreProperties>
</file>