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企画担当\04 健康福祉（環境）の現況、福祉保健年報\(R7作業)令和７年福祉保健年報\02確定版\統計表\31│障害・知的身体障害者の更生援護\"/>
    </mc:Choice>
  </mc:AlternateContent>
  <xr:revisionPtr revIDLastSave="0" documentId="13_ncr:1_{635EE551-5AE6-42A7-8CE9-B1D1274A30E8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31-7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19" i="36" l="1"/>
  <c r="V118" i="36"/>
  <c r="V116" i="36"/>
  <c r="V115" i="36"/>
  <c r="V114" i="36"/>
  <c r="V112" i="36"/>
  <c r="U116" i="36"/>
  <c r="U115" i="36"/>
  <c r="U114" i="36"/>
  <c r="U112" i="36"/>
  <c r="R119" i="36"/>
  <c r="R118" i="36"/>
  <c r="R116" i="36"/>
  <c r="R115" i="36"/>
  <c r="R114" i="36"/>
  <c r="R112" i="36"/>
  <c r="P119" i="36"/>
  <c r="P118" i="36"/>
  <c r="P116" i="36"/>
  <c r="P115" i="36"/>
  <c r="P114" i="36"/>
  <c r="P112" i="36"/>
  <c r="O119" i="36"/>
  <c r="O118" i="36"/>
  <c r="O116" i="36"/>
  <c r="O115" i="36"/>
  <c r="O114" i="36"/>
  <c r="O112" i="36"/>
  <c r="N119" i="36"/>
  <c r="N118" i="36"/>
  <c r="N116" i="36"/>
  <c r="N115" i="36"/>
  <c r="N114" i="36"/>
  <c r="N112" i="36"/>
  <c r="M119" i="36"/>
  <c r="M118" i="36"/>
  <c r="M116" i="36"/>
  <c r="M115" i="36"/>
  <c r="M114" i="36"/>
  <c r="M112" i="36"/>
  <c r="L119" i="36"/>
  <c r="L118" i="36"/>
  <c r="L116" i="36"/>
  <c r="L115" i="36"/>
  <c r="L114" i="36"/>
  <c r="L112" i="36"/>
  <c r="K119" i="36"/>
  <c r="K118" i="36"/>
  <c r="K116" i="36"/>
  <c r="K115" i="36"/>
  <c r="K114" i="36"/>
  <c r="K112" i="36"/>
  <c r="J115" i="36"/>
  <c r="J114" i="36"/>
  <c r="J112" i="36"/>
  <c r="I115" i="36"/>
  <c r="I114" i="36"/>
  <c r="I112" i="36"/>
  <c r="H119" i="36"/>
  <c r="H118" i="36"/>
  <c r="H116" i="36"/>
  <c r="H115" i="36"/>
  <c r="H114" i="36"/>
  <c r="H112" i="36"/>
  <c r="G119" i="36"/>
  <c r="G118" i="36"/>
  <c r="G116" i="36"/>
  <c r="G115" i="36"/>
  <c r="G114" i="36"/>
  <c r="G112" i="36"/>
  <c r="F119" i="36"/>
  <c r="F118" i="36"/>
  <c r="F116" i="36"/>
  <c r="F115" i="36"/>
  <c r="F114" i="36"/>
  <c r="F112" i="36"/>
  <c r="E119" i="36"/>
  <c r="E118" i="36"/>
  <c r="E116" i="36"/>
  <c r="E115" i="36"/>
  <c r="E114" i="36"/>
  <c r="E112" i="36"/>
  <c r="R113" i="36" l="1"/>
  <c r="O113" i="36"/>
  <c r="L117" i="36" l="1"/>
  <c r="K117" i="36"/>
  <c r="F117" i="36"/>
  <c r="E117" i="36"/>
  <c r="V117" i="36"/>
  <c r="U117" i="36"/>
  <c r="T117" i="36"/>
  <c r="S117" i="36"/>
  <c r="R117" i="36"/>
  <c r="R111" i="36" s="1"/>
  <c r="Q117" i="36"/>
  <c r="Q111" i="36" s="1"/>
  <c r="P117" i="36"/>
  <c r="O117" i="36"/>
  <c r="N117" i="36"/>
  <c r="N111" i="36" s="1"/>
  <c r="M117" i="36"/>
  <c r="J117" i="36"/>
  <c r="I117" i="36"/>
  <c r="H117" i="36"/>
  <c r="G117" i="36"/>
  <c r="V113" i="36"/>
  <c r="U113" i="36"/>
  <c r="O111" i="36"/>
  <c r="I113" i="36"/>
  <c r="G113" i="36"/>
  <c r="G111" i="36" s="1"/>
  <c r="T113" i="36"/>
  <c r="S113" i="36"/>
  <c r="S111" i="36" s="1"/>
  <c r="Q113" i="36"/>
  <c r="P113" i="36"/>
  <c r="N113" i="36"/>
  <c r="M113" i="36"/>
  <c r="L113" i="36"/>
  <c r="K113" i="36"/>
  <c r="J113" i="36"/>
  <c r="J111" i="36" s="1"/>
  <c r="H113" i="36"/>
  <c r="F113" i="36"/>
  <c r="E113" i="36"/>
  <c r="U110" i="36"/>
  <c r="R110" i="36"/>
  <c r="O110" i="36"/>
  <c r="M110" i="36"/>
  <c r="L110" i="36"/>
  <c r="J110" i="36"/>
  <c r="G110" i="36"/>
  <c r="E110" i="36"/>
  <c r="T111" i="36"/>
  <c r="V110" i="36"/>
  <c r="T110" i="36"/>
  <c r="S110" i="36"/>
  <c r="Q110" i="36"/>
  <c r="P110" i="36"/>
  <c r="N110" i="36"/>
  <c r="K110" i="36"/>
  <c r="I110" i="36"/>
  <c r="H110" i="36"/>
  <c r="F110" i="36"/>
  <c r="V105" i="36"/>
  <c r="R105" i="36"/>
  <c r="P105" i="36"/>
  <c r="O105" i="36"/>
  <c r="N105" i="36"/>
  <c r="N103" i="36" s="1"/>
  <c r="M105" i="36"/>
  <c r="M103" i="36" s="1"/>
  <c r="L105" i="36"/>
  <c r="K105" i="36"/>
  <c r="K103" i="36" s="1"/>
  <c r="H105" i="36"/>
  <c r="G105" i="36"/>
  <c r="F105" i="36"/>
  <c r="E105" i="36"/>
  <c r="V104" i="36"/>
  <c r="V103" i="36" s="1"/>
  <c r="R104" i="36"/>
  <c r="R103" i="36" s="1"/>
  <c r="P104" i="36"/>
  <c r="O104" i="36"/>
  <c r="O103" i="36" s="1"/>
  <c r="N104" i="36"/>
  <c r="M104" i="36"/>
  <c r="L104" i="36"/>
  <c r="K104" i="36"/>
  <c r="H104" i="36"/>
  <c r="G104" i="36"/>
  <c r="G103" i="36" s="1"/>
  <c r="F104" i="36"/>
  <c r="E104" i="36"/>
  <c r="E103" i="36" s="1"/>
  <c r="U103" i="36"/>
  <c r="T103" i="36"/>
  <c r="S103" i="36"/>
  <c r="Q103" i="36"/>
  <c r="P103" i="36"/>
  <c r="J103" i="36"/>
  <c r="I103" i="36"/>
  <c r="H103" i="36"/>
  <c r="V102" i="36"/>
  <c r="U102" i="36"/>
  <c r="R102" i="36"/>
  <c r="P102" i="36"/>
  <c r="O102" i="36"/>
  <c r="N102" i="36"/>
  <c r="M102" i="36"/>
  <c r="L102" i="36"/>
  <c r="K102" i="36"/>
  <c r="H102" i="36"/>
  <c r="G102" i="36"/>
  <c r="F102" i="36"/>
  <c r="E102" i="36"/>
  <c r="V101" i="36"/>
  <c r="U101" i="36"/>
  <c r="R101" i="36"/>
  <c r="P101" i="36"/>
  <c r="O101" i="36"/>
  <c r="N101" i="36"/>
  <c r="M101" i="36"/>
  <c r="L101" i="36"/>
  <c r="L99" i="36" s="1"/>
  <c r="K101" i="36"/>
  <c r="I101" i="36"/>
  <c r="H101" i="36"/>
  <c r="G101" i="36"/>
  <c r="F101" i="36"/>
  <c r="E101" i="36"/>
  <c r="V100" i="36"/>
  <c r="V99" i="36" s="1"/>
  <c r="V97" i="36" s="1"/>
  <c r="U100" i="36"/>
  <c r="U99" i="36" s="1"/>
  <c r="U97" i="36" s="1"/>
  <c r="R100" i="36"/>
  <c r="P100" i="36"/>
  <c r="P99" i="36" s="1"/>
  <c r="O100" i="36"/>
  <c r="N100" i="36"/>
  <c r="M100" i="36"/>
  <c r="M99" i="36" s="1"/>
  <c r="L100" i="36"/>
  <c r="K100" i="36"/>
  <c r="J100" i="36"/>
  <c r="J99" i="36" s="1"/>
  <c r="J97" i="36" s="1"/>
  <c r="I100" i="36"/>
  <c r="H100" i="36"/>
  <c r="G100" i="36"/>
  <c r="G99" i="36" s="1"/>
  <c r="F100" i="36"/>
  <c r="E100" i="36"/>
  <c r="E99" i="36" s="1"/>
  <c r="T99" i="36"/>
  <c r="S99" i="36"/>
  <c r="S97" i="36" s="1"/>
  <c r="Q99" i="36"/>
  <c r="Q97" i="36" s="1"/>
  <c r="N99" i="36"/>
  <c r="F99" i="36"/>
  <c r="V98" i="36"/>
  <c r="U98" i="36"/>
  <c r="U96" i="36" s="1"/>
  <c r="R98" i="36"/>
  <c r="P98" i="36"/>
  <c r="P96" i="36" s="1"/>
  <c r="O98" i="36"/>
  <c r="O96" i="36" s="1"/>
  <c r="N98" i="36"/>
  <c r="M98" i="36"/>
  <c r="L98" i="36"/>
  <c r="K98" i="36"/>
  <c r="K96" i="36" s="1"/>
  <c r="J98" i="36"/>
  <c r="J96" i="36" s="1"/>
  <c r="I98" i="36"/>
  <c r="H98" i="36"/>
  <c r="G98" i="36"/>
  <c r="F98" i="36"/>
  <c r="F96" i="36" s="1"/>
  <c r="E98" i="36"/>
  <c r="T97" i="36"/>
  <c r="V96" i="36"/>
  <c r="T96" i="36"/>
  <c r="S96" i="36"/>
  <c r="Q96" i="36"/>
  <c r="N96" i="36"/>
  <c r="I96" i="36"/>
  <c r="H96" i="36"/>
  <c r="G96" i="36"/>
  <c r="V91" i="36"/>
  <c r="R91" i="36"/>
  <c r="Q91" i="36"/>
  <c r="P91" i="36"/>
  <c r="P89" i="36" s="1"/>
  <c r="O91" i="36"/>
  <c r="N91" i="36"/>
  <c r="N89" i="36" s="1"/>
  <c r="N83" i="36" s="1"/>
  <c r="M91" i="36"/>
  <c r="M89" i="36" s="1"/>
  <c r="L91" i="36"/>
  <c r="K91" i="36"/>
  <c r="H91" i="36"/>
  <c r="G91" i="36"/>
  <c r="F91" i="36"/>
  <c r="E91" i="36"/>
  <c r="V90" i="36"/>
  <c r="V89" i="36" s="1"/>
  <c r="V83" i="36" s="1"/>
  <c r="U90" i="36"/>
  <c r="U89" i="36" s="1"/>
  <c r="U83" i="36" s="1"/>
  <c r="R90" i="36"/>
  <c r="Q90" i="36"/>
  <c r="P90" i="36"/>
  <c r="O90" i="36"/>
  <c r="N90" i="36"/>
  <c r="M90" i="36"/>
  <c r="L90" i="36"/>
  <c r="L89" i="36" s="1"/>
  <c r="K90" i="36"/>
  <c r="K89" i="36" s="1"/>
  <c r="H90" i="36"/>
  <c r="G90" i="36"/>
  <c r="G89" i="36" s="1"/>
  <c r="F90" i="36"/>
  <c r="F89" i="36" s="1"/>
  <c r="E90" i="36"/>
  <c r="T89" i="36"/>
  <c r="S89" i="36"/>
  <c r="R89" i="36"/>
  <c r="Q89" i="36"/>
  <c r="J89" i="36"/>
  <c r="I89" i="36"/>
  <c r="H89" i="36"/>
  <c r="E89" i="36"/>
  <c r="V88" i="36"/>
  <c r="U88" i="36"/>
  <c r="R88" i="36"/>
  <c r="Q88" i="36"/>
  <c r="P88" i="36"/>
  <c r="O88" i="36"/>
  <c r="N88" i="36"/>
  <c r="M88" i="36"/>
  <c r="L88" i="36"/>
  <c r="K88" i="36"/>
  <c r="H88" i="36"/>
  <c r="H82" i="36" s="1"/>
  <c r="G88" i="36"/>
  <c r="F88" i="36"/>
  <c r="E88" i="36"/>
  <c r="V87" i="36"/>
  <c r="U87" i="36"/>
  <c r="R87" i="36"/>
  <c r="Q87" i="36"/>
  <c r="P87" i="36"/>
  <c r="O87" i="36"/>
  <c r="N87" i="36"/>
  <c r="M87" i="36"/>
  <c r="L87" i="36"/>
  <c r="K87" i="36"/>
  <c r="J87" i="36"/>
  <c r="I87" i="36"/>
  <c r="H87" i="36"/>
  <c r="G87" i="36"/>
  <c r="F87" i="36"/>
  <c r="E87" i="36"/>
  <c r="V86" i="36"/>
  <c r="U86" i="36"/>
  <c r="R86" i="36"/>
  <c r="Q86" i="36"/>
  <c r="Q85" i="36" s="1"/>
  <c r="P86" i="36"/>
  <c r="O86" i="36"/>
  <c r="O85" i="36" s="1"/>
  <c r="N86" i="36"/>
  <c r="M86" i="36"/>
  <c r="M85" i="36" s="1"/>
  <c r="L86" i="36"/>
  <c r="K86" i="36"/>
  <c r="K85" i="36" s="1"/>
  <c r="J86" i="36"/>
  <c r="J85" i="36" s="1"/>
  <c r="J83" i="36" s="1"/>
  <c r="I86" i="36"/>
  <c r="I85" i="36" s="1"/>
  <c r="I83" i="36" s="1"/>
  <c r="H86" i="36"/>
  <c r="H85" i="36" s="1"/>
  <c r="H83" i="36" s="1"/>
  <c r="G86" i="36"/>
  <c r="G85" i="36" s="1"/>
  <c r="F86" i="36"/>
  <c r="E86" i="36"/>
  <c r="V85" i="36"/>
  <c r="U85" i="36"/>
  <c r="T85" i="36"/>
  <c r="T83" i="36" s="1"/>
  <c r="S85" i="36"/>
  <c r="S83" i="36" s="1"/>
  <c r="P85" i="36"/>
  <c r="N85" i="36"/>
  <c r="L85" i="36"/>
  <c r="F85" i="36"/>
  <c r="F83" i="36" s="1"/>
  <c r="E85" i="36"/>
  <c r="E83" i="36" s="1"/>
  <c r="V84" i="36"/>
  <c r="U84" i="36"/>
  <c r="U82" i="36" s="1"/>
  <c r="R84" i="36"/>
  <c r="Q84" i="36"/>
  <c r="P84" i="36"/>
  <c r="O84" i="36"/>
  <c r="N84" i="36"/>
  <c r="N82" i="36" s="1"/>
  <c r="M84" i="36"/>
  <c r="L84" i="36"/>
  <c r="K84" i="36"/>
  <c r="K82" i="36" s="1"/>
  <c r="J84" i="36"/>
  <c r="I84" i="36"/>
  <c r="I82" i="36" s="1"/>
  <c r="H84" i="36"/>
  <c r="G84" i="36"/>
  <c r="G82" i="36" s="1"/>
  <c r="F84" i="36"/>
  <c r="F82" i="36" s="1"/>
  <c r="E84" i="36"/>
  <c r="E82" i="36" s="1"/>
  <c r="T82" i="36"/>
  <c r="S82" i="36"/>
  <c r="R82" i="36"/>
  <c r="Q82" i="36"/>
  <c r="P82" i="36"/>
  <c r="O82" i="36"/>
  <c r="J82" i="36"/>
  <c r="V75" i="36"/>
  <c r="U75" i="36"/>
  <c r="T75" i="36"/>
  <c r="S75" i="36"/>
  <c r="R75" i="36"/>
  <c r="Q75" i="36"/>
  <c r="P75" i="36"/>
  <c r="O75" i="36"/>
  <c r="N75" i="36"/>
  <c r="M75" i="36"/>
  <c r="L75" i="36"/>
  <c r="K75" i="36"/>
  <c r="J75" i="36"/>
  <c r="I75" i="36"/>
  <c r="H75" i="36"/>
  <c r="G75" i="36"/>
  <c r="F75" i="36"/>
  <c r="E75" i="36"/>
  <c r="V71" i="36"/>
  <c r="V69" i="36" s="1"/>
  <c r="U71" i="36"/>
  <c r="U69" i="36" s="1"/>
  <c r="T71" i="36"/>
  <c r="S71" i="36"/>
  <c r="R71" i="36"/>
  <c r="Q71" i="36"/>
  <c r="P71" i="36"/>
  <c r="P69" i="36" s="1"/>
  <c r="O71" i="36"/>
  <c r="O69" i="36" s="1"/>
  <c r="N71" i="36"/>
  <c r="M71" i="36"/>
  <c r="L71" i="36"/>
  <c r="K71" i="36"/>
  <c r="J71" i="36"/>
  <c r="I71" i="36"/>
  <c r="H71" i="36"/>
  <c r="H69" i="36" s="1"/>
  <c r="G71" i="36"/>
  <c r="G69" i="36" s="1"/>
  <c r="F71" i="36"/>
  <c r="F69" i="36" s="1"/>
  <c r="E71" i="36"/>
  <c r="E69" i="36" s="1"/>
  <c r="N69" i="36"/>
  <c r="M69" i="36"/>
  <c r="V68" i="36"/>
  <c r="U68" i="36"/>
  <c r="T68" i="36"/>
  <c r="S68" i="36"/>
  <c r="R68" i="36"/>
  <c r="Q68" i="36"/>
  <c r="P68" i="36"/>
  <c r="O68" i="36"/>
  <c r="N68" i="36"/>
  <c r="M68" i="36"/>
  <c r="L68" i="36"/>
  <c r="K68" i="36"/>
  <c r="J68" i="36"/>
  <c r="I68" i="36"/>
  <c r="H68" i="36"/>
  <c r="G68" i="36"/>
  <c r="F68" i="36"/>
  <c r="E68" i="36"/>
  <c r="V61" i="36"/>
  <c r="U61" i="36"/>
  <c r="T61" i="36"/>
  <c r="S61" i="36"/>
  <c r="R61" i="36"/>
  <c r="Q61" i="36"/>
  <c r="P61" i="36"/>
  <c r="O61" i="36"/>
  <c r="N61" i="36"/>
  <c r="M61" i="36"/>
  <c r="L61" i="36"/>
  <c r="K61" i="36"/>
  <c r="J61" i="36"/>
  <c r="I61" i="36"/>
  <c r="H61" i="36"/>
  <c r="G61" i="36"/>
  <c r="F61" i="36"/>
  <c r="E61" i="36"/>
  <c r="V57" i="36"/>
  <c r="V55" i="36" s="1"/>
  <c r="U57" i="36"/>
  <c r="U55" i="36" s="1"/>
  <c r="T57" i="36"/>
  <c r="S57" i="36"/>
  <c r="R57" i="36"/>
  <c r="Q57" i="36"/>
  <c r="P57" i="36"/>
  <c r="P55" i="36" s="1"/>
  <c r="O57" i="36"/>
  <c r="O55" i="36" s="1"/>
  <c r="N57" i="36"/>
  <c r="N55" i="36" s="1"/>
  <c r="M57" i="36"/>
  <c r="L57" i="36"/>
  <c r="K57" i="36"/>
  <c r="J57" i="36"/>
  <c r="I57" i="36"/>
  <c r="H57" i="36"/>
  <c r="G57" i="36"/>
  <c r="G55" i="36" s="1"/>
  <c r="F57" i="36"/>
  <c r="F55" i="36" s="1"/>
  <c r="E57" i="36"/>
  <c r="E55" i="36" s="1"/>
  <c r="M55" i="36"/>
  <c r="H55" i="36"/>
  <c r="V54" i="36"/>
  <c r="U54" i="36"/>
  <c r="T54" i="36"/>
  <c r="S54" i="36"/>
  <c r="R54" i="36"/>
  <c r="Q54" i="36"/>
  <c r="P54" i="36"/>
  <c r="O54" i="36"/>
  <c r="N54" i="36"/>
  <c r="M54" i="36"/>
  <c r="L54" i="36"/>
  <c r="K54" i="36"/>
  <c r="J54" i="36"/>
  <c r="I54" i="36"/>
  <c r="H54" i="36"/>
  <c r="G54" i="36"/>
  <c r="F54" i="36"/>
  <c r="E54" i="36"/>
  <c r="V111" i="36" l="1"/>
  <c r="U111" i="36"/>
  <c r="P111" i="36"/>
  <c r="M111" i="36"/>
  <c r="L111" i="36"/>
  <c r="K111" i="36"/>
  <c r="I111" i="36"/>
  <c r="H111" i="36"/>
  <c r="F111" i="36"/>
  <c r="E111" i="36"/>
  <c r="K83" i="36"/>
  <c r="M83" i="36"/>
  <c r="L82" i="36"/>
  <c r="V82" i="36"/>
  <c r="E97" i="36"/>
  <c r="M82" i="36"/>
  <c r="Q83" i="36"/>
  <c r="I99" i="36"/>
  <c r="I97" i="36" s="1"/>
  <c r="R99" i="36"/>
  <c r="K99" i="36"/>
  <c r="F103" i="36"/>
  <c r="F97" i="36" s="1"/>
  <c r="L103" i="36"/>
  <c r="L97" i="36" s="1"/>
  <c r="R85" i="36"/>
  <c r="R83" i="36" s="1"/>
  <c r="P97" i="36"/>
  <c r="N97" i="36"/>
  <c r="I55" i="36"/>
  <c r="Q55" i="36"/>
  <c r="I69" i="36"/>
  <c r="Q69" i="36"/>
  <c r="O89" i="36"/>
  <c r="L96" i="36"/>
  <c r="R96" i="36"/>
  <c r="L83" i="36"/>
  <c r="P83" i="36"/>
  <c r="E96" i="36"/>
  <c r="M96" i="36"/>
  <c r="M97" i="36"/>
  <c r="K55" i="36"/>
  <c r="S55" i="36"/>
  <c r="K69" i="36"/>
  <c r="S69" i="36"/>
  <c r="L55" i="36"/>
  <c r="T55" i="36"/>
  <c r="J55" i="36"/>
  <c r="R55" i="36"/>
  <c r="L69" i="36"/>
  <c r="T69" i="36"/>
  <c r="J69" i="36"/>
  <c r="R69" i="36"/>
  <c r="G97" i="36"/>
  <c r="O99" i="36"/>
  <c r="H99" i="36"/>
  <c r="H97" i="36" s="1"/>
  <c r="R97" i="36"/>
  <c r="K97" i="36"/>
  <c r="G83" i="36"/>
  <c r="O83" i="36"/>
  <c r="O97" i="36"/>
</calcChain>
</file>

<file path=xl/sharedStrings.xml><?xml version="1.0" encoding="utf-8"?>
<sst xmlns="http://schemas.openxmlformats.org/spreadsheetml/2006/main" count="227" uniqueCount="52">
  <si>
    <t>平成</t>
    <rPh sb="0" eb="2">
      <t>ヘイセイ</t>
    </rPh>
    <phoneticPr fontId="3"/>
  </si>
  <si>
    <t>公費負担額</t>
    <rPh sb="0" eb="2">
      <t>コウヒ</t>
    </rPh>
    <rPh sb="2" eb="5">
      <t>フタンガク</t>
    </rPh>
    <phoneticPr fontId="3"/>
  </si>
  <si>
    <t>年度</t>
    <rPh sb="0" eb="2">
      <t>ネンド</t>
    </rPh>
    <phoneticPr fontId="3"/>
  </si>
  <si>
    <t>自己負担額</t>
    <rPh sb="0" eb="2">
      <t>ジコ</t>
    </rPh>
    <rPh sb="2" eb="5">
      <t>フタンガク</t>
    </rPh>
    <phoneticPr fontId="3"/>
  </si>
  <si>
    <t>単位（千円）</t>
    <rPh sb="0" eb="2">
      <t>タンイ</t>
    </rPh>
    <rPh sb="3" eb="5">
      <t>センエン</t>
    </rPh>
    <phoneticPr fontId="3"/>
  </si>
  <si>
    <t>座  位</t>
  </si>
  <si>
    <t>盲  人</t>
  </si>
  <si>
    <t>電  動</t>
  </si>
  <si>
    <t>座位</t>
    <rPh sb="0" eb="2">
      <t>ザイ</t>
    </rPh>
    <phoneticPr fontId="3"/>
  </si>
  <si>
    <t>起立</t>
    <rPh sb="0" eb="2">
      <t>キリツ</t>
    </rPh>
    <phoneticPr fontId="3"/>
  </si>
  <si>
    <t>頭  部</t>
  </si>
  <si>
    <t>排便</t>
    <rPh sb="0" eb="2">
      <t>ハイベン</t>
    </rPh>
    <phoneticPr fontId="3"/>
  </si>
  <si>
    <t>歩  行</t>
  </si>
  <si>
    <t>重度障害</t>
    <rPh sb="0" eb="2">
      <t>ジュウド</t>
    </rPh>
    <rPh sb="2" eb="4">
      <t>ショウガイ</t>
    </rPh>
    <phoneticPr fontId="3"/>
  </si>
  <si>
    <t>義  手</t>
  </si>
  <si>
    <t>義  足</t>
  </si>
  <si>
    <t>装  具</t>
  </si>
  <si>
    <t>保  持</t>
  </si>
  <si>
    <t>安  全</t>
  </si>
  <si>
    <t>義  眼</t>
  </si>
  <si>
    <t>眼  鏡</t>
  </si>
  <si>
    <t>補聴器</t>
  </si>
  <si>
    <t>普通型</t>
  </si>
  <si>
    <t>その他</t>
  </si>
  <si>
    <t>保持</t>
    <rPh sb="0" eb="2">
      <t>ホジ</t>
    </rPh>
    <phoneticPr fontId="3"/>
  </si>
  <si>
    <t>歩行器</t>
  </si>
  <si>
    <t>補助</t>
    <rPh sb="0" eb="2">
      <t>ホジョ</t>
    </rPh>
    <phoneticPr fontId="3"/>
  </si>
  <si>
    <t>補  助</t>
  </si>
  <si>
    <t>者用意思</t>
    <rPh sb="0" eb="1">
      <t>シャ</t>
    </rPh>
    <rPh sb="1" eb="2">
      <t>ヨウ</t>
    </rPh>
    <rPh sb="2" eb="4">
      <t>イシ</t>
    </rPh>
    <phoneticPr fontId="3"/>
  </si>
  <si>
    <t>装  置</t>
  </si>
  <si>
    <t>つ  え</t>
  </si>
  <si>
    <t>車いす</t>
  </si>
  <si>
    <t>具</t>
    <rPh sb="0" eb="1">
      <t>グ</t>
    </rPh>
    <phoneticPr fontId="3"/>
  </si>
  <si>
    <t>保持具</t>
    <rPh sb="0" eb="2">
      <t>ホジ</t>
    </rPh>
    <rPh sb="2" eb="3">
      <t>グ</t>
    </rPh>
    <phoneticPr fontId="3"/>
  </si>
  <si>
    <t>伝達装置</t>
    <rPh sb="0" eb="2">
      <t>デンタツ</t>
    </rPh>
    <rPh sb="2" eb="4">
      <t>ソウチ</t>
    </rPh>
    <phoneticPr fontId="3"/>
  </si>
  <si>
    <t>総</t>
  </si>
  <si>
    <t>数</t>
  </si>
  <si>
    <t>交　付</t>
    <rPh sb="0" eb="1">
      <t>コウ</t>
    </rPh>
    <rPh sb="2" eb="3">
      <t>ヅケ</t>
    </rPh>
    <phoneticPr fontId="3"/>
  </si>
  <si>
    <t>件　　数</t>
    <rPh sb="0" eb="1">
      <t>ケン</t>
    </rPh>
    <rPh sb="3" eb="4">
      <t>カズ</t>
    </rPh>
    <phoneticPr fontId="3"/>
  </si>
  <si>
    <t>金　　額</t>
    <rPh sb="0" eb="1">
      <t>キン</t>
    </rPh>
    <rPh sb="3" eb="4">
      <t>ガク</t>
    </rPh>
    <phoneticPr fontId="3"/>
  </si>
  <si>
    <t>修　理</t>
    <rPh sb="0" eb="1">
      <t>オサム</t>
    </rPh>
    <rPh sb="2" eb="3">
      <t>リ</t>
    </rPh>
    <phoneticPr fontId="3"/>
  </si>
  <si>
    <t>-</t>
  </si>
  <si>
    <t>-</t>
    <phoneticPr fontId="3"/>
  </si>
  <si>
    <t>車  い  す</t>
    <phoneticPr fontId="3"/>
  </si>
  <si>
    <t>31-7　身体障害者・児の補装具費支給決定状況、補装具種類別</t>
    <phoneticPr fontId="3"/>
  </si>
  <si>
    <t>義     肢</t>
    <phoneticPr fontId="3"/>
  </si>
  <si>
    <t>いす</t>
    <phoneticPr fontId="3"/>
  </si>
  <si>
    <t>件　　数</t>
    <phoneticPr fontId="3"/>
  </si>
  <si>
    <t>金　　額</t>
    <phoneticPr fontId="3"/>
  </si>
  <si>
    <t>借受け</t>
    <rPh sb="0" eb="1">
      <t>カ</t>
    </rPh>
    <rPh sb="1" eb="2">
      <t>ウ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</si>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</sst>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9" x14ac:knownFonts="1">
    <font>
      <sz val="13.5"/>
      <name val="FixedSys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sz val="6.7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5"/>
      <name val="ＭＳ 明朝"/>
      <family val="1"/>
      <charset val="128"/>
    </font>
    <font>
      <sz val="6"/>
      <name val="FixedSys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38" fontId="5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176" fontId="1" fillId="0" borderId="8" xfId="0" applyNumberFormat="1" applyFont="1" applyBorder="1" applyAlignment="1" applyProtection="1">
      <alignment horizontal="right"/>
      <protection locked="0"/>
    </xf>
    <xf numFmtId="0" fontId="8" fillId="0" borderId="0" xfId="0" applyFont="1"/>
    <xf numFmtId="176" fontId="8" fillId="0" borderId="0" xfId="0" applyNumberFormat="1" applyFont="1"/>
    <xf numFmtId="176" fontId="1" fillId="2" borderId="4" xfId="0" applyNumberFormat="1" applyFont="1" applyFill="1" applyBorder="1" applyAlignment="1" applyProtection="1">
      <alignment horizontal="right"/>
      <protection locked="0"/>
    </xf>
    <xf numFmtId="176" fontId="1" fillId="2" borderId="5" xfId="0" applyNumberFormat="1" applyFont="1" applyFill="1" applyBorder="1" applyAlignment="1" applyProtection="1">
      <alignment horizontal="right"/>
      <protection locked="0"/>
    </xf>
    <xf numFmtId="176" fontId="1" fillId="2" borderId="1" xfId="0" applyNumberFormat="1" applyFont="1" applyFill="1" applyBorder="1" applyAlignment="1" applyProtection="1">
      <alignment horizontal="right"/>
      <protection locked="0"/>
    </xf>
    <xf numFmtId="176" fontId="1" fillId="2" borderId="8" xfId="0" applyNumberFormat="1" applyFont="1" applyFill="1" applyBorder="1" applyAlignment="1" applyProtection="1">
      <alignment horizontal="right"/>
      <protection locked="0"/>
    </xf>
    <xf numFmtId="176" fontId="1" fillId="2" borderId="3" xfId="0" applyNumberFormat="1" applyFont="1" applyFill="1" applyBorder="1" applyAlignment="1" applyProtection="1">
      <alignment horizontal="right"/>
      <protection locked="0"/>
    </xf>
    <xf numFmtId="176" fontId="1" fillId="2" borderId="2" xfId="0" applyNumberFormat="1" applyFont="1" applyFill="1" applyBorder="1" applyAlignment="1" applyProtection="1">
      <alignment horizontal="right"/>
      <protection locked="0"/>
    </xf>
    <xf numFmtId="176" fontId="1" fillId="0" borderId="3" xfId="0" applyNumberFormat="1" applyFont="1" applyBorder="1" applyAlignment="1" applyProtection="1">
      <alignment horizontal="right"/>
      <protection locked="0"/>
    </xf>
    <xf numFmtId="176" fontId="1" fillId="0" borderId="1" xfId="0" applyNumberFormat="1" applyFont="1" applyBorder="1" applyAlignment="1" applyProtection="1">
      <alignment horizontal="right"/>
      <protection locked="0"/>
    </xf>
    <xf numFmtId="176" fontId="1" fillId="0" borderId="0" xfId="0" applyNumberFormat="1" applyFont="1" applyAlignment="1" applyProtection="1">
      <alignment horizontal="right"/>
      <protection locked="0"/>
    </xf>
    <xf numFmtId="176" fontId="1" fillId="0" borderId="3" xfId="0" applyNumberFormat="1" applyFont="1" applyBorder="1" applyAlignment="1" applyProtection="1">
      <alignment horizontal="center" vertical="center"/>
      <protection locked="0"/>
    </xf>
    <xf numFmtId="176" fontId="1" fillId="0" borderId="5" xfId="0" applyNumberFormat="1" applyFont="1" applyBorder="1" applyAlignment="1" applyProtection="1">
      <alignment horizontal="center" vertical="center"/>
      <protection locked="0"/>
    </xf>
    <xf numFmtId="176" fontId="1" fillId="0" borderId="4" xfId="0" applyNumberFormat="1" applyFont="1" applyBorder="1" applyAlignment="1" applyProtection="1">
      <alignment horizontal="center" vertical="center"/>
      <protection locked="0"/>
    </xf>
    <xf numFmtId="176" fontId="1" fillId="0" borderId="8" xfId="0" applyNumberFormat="1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2" xfId="0" applyNumberFormat="1" applyFont="1" applyBorder="1" applyAlignment="1" applyProtection="1">
      <alignment horizontal="center" vertical="center"/>
      <protection locked="0"/>
    </xf>
    <xf numFmtId="176" fontId="1" fillId="0" borderId="4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0" borderId="5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distributed" vertical="center" justifyLastLine="1"/>
      <protection locked="0"/>
    </xf>
    <xf numFmtId="0" fontId="7" fillId="0" borderId="11" xfId="0" applyFont="1" applyBorder="1" applyAlignment="1" applyProtection="1">
      <alignment horizontal="distributed" vertical="center" justifyLastLine="1"/>
      <protection locked="0"/>
    </xf>
    <xf numFmtId="176" fontId="1" fillId="0" borderId="2" xfId="0" applyNumberFormat="1" applyFont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distributed" vertical="center" justifyLastLine="1"/>
      <protection locked="0"/>
    </xf>
    <xf numFmtId="0" fontId="7" fillId="2" borderId="11" xfId="0" applyFont="1" applyFill="1" applyBorder="1" applyAlignment="1" applyProtection="1">
      <alignment horizontal="distributed" vertical="center" justifyLastLine="1"/>
      <protection locked="0"/>
    </xf>
    <xf numFmtId="0" fontId="7" fillId="0" borderId="1" xfId="0" applyFont="1" applyBorder="1" applyAlignment="1" applyProtection="1">
      <alignment horizontal="distributed" vertical="center" justifyLastLine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textRotation="255"/>
      <protection locked="0"/>
    </xf>
    <xf numFmtId="0" fontId="1" fillId="0" borderId="11" xfId="0" applyFont="1" applyBorder="1" applyAlignment="1" applyProtection="1">
      <alignment horizontal="center" vertical="center" textRotation="255"/>
      <protection locked="0"/>
    </xf>
    <xf numFmtId="0" fontId="1" fillId="2" borderId="7" xfId="0" applyFont="1" applyFill="1" applyBorder="1" applyAlignment="1" applyProtection="1">
      <alignment horizontal="center" vertical="center" textRotation="255"/>
      <protection locked="0"/>
    </xf>
    <xf numFmtId="0" fontId="1" fillId="2" borderId="11" xfId="0" applyFont="1" applyFill="1" applyBorder="1" applyAlignment="1" applyProtection="1">
      <alignment horizontal="center" vertical="center" textRotation="255"/>
      <protection locked="0"/>
    </xf>
    <xf numFmtId="0" fontId="1" fillId="0" borderId="7" xfId="0" applyFont="1" applyBorder="1" applyAlignment="1" applyProtection="1">
      <alignment horizontal="center" vertical="center" textRotation="255"/>
      <protection locked="0"/>
    </xf>
    <xf numFmtId="0" fontId="1" fillId="0" borderId="11" xfId="0" applyFont="1" applyBorder="1" applyAlignment="1" applyProtection="1">
      <alignment horizontal="center" vertical="center" textRotation="255"/>
      <protection locked="0"/>
    </xf>
    <xf numFmtId="0" fontId="1" fillId="0" borderId="9" xfId="0" applyFont="1" applyBorder="1" applyAlignment="1" applyProtection="1">
      <alignment horizontal="center" vertical="center" textRotation="255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justifyLastLine="1"/>
      <protection locked="0"/>
    </xf>
    <xf numFmtId="0" fontId="1" fillId="0" borderId="9" xfId="0" applyFont="1" applyBorder="1" applyAlignment="1" applyProtection="1">
      <alignment horizontal="center" vertical="center" justifyLastLine="1"/>
      <protection locked="0"/>
    </xf>
    <xf numFmtId="0" fontId="1" fillId="0" borderId="2" xfId="0" applyFont="1" applyBorder="1" applyAlignment="1" applyProtection="1">
      <alignment horizontal="center" vertical="center" justifyLastLine="1"/>
      <protection locked="0"/>
    </xf>
    <xf numFmtId="0" fontId="1" fillId="0" borderId="11" xfId="0" applyFont="1" applyBorder="1" applyAlignment="1" applyProtection="1">
      <alignment horizontal="center" vertical="center" justifyLastLine="1"/>
      <protection locked="0"/>
    </xf>
    <xf numFmtId="0" fontId="1" fillId="0" borderId="3" xfId="0" applyFont="1" applyBorder="1" applyAlignment="1" applyProtection="1">
      <alignment horizontal="center" vertical="center" textRotation="255"/>
      <protection locked="0"/>
    </xf>
    <xf numFmtId="0" fontId="1" fillId="0" borderId="4" xfId="0" applyFont="1" applyBorder="1" applyAlignment="1" applyProtection="1">
      <alignment horizontal="center" vertical="center" textRotation="255"/>
      <protection locked="0"/>
    </xf>
    <xf numFmtId="0" fontId="1" fillId="0" borderId="1" xfId="0" applyFont="1" applyBorder="1" applyAlignment="1" applyProtection="1">
      <alignment horizontal="center" vertical="center" textRotation="255"/>
      <protection locked="0"/>
    </xf>
    <xf numFmtId="176" fontId="1" fillId="0" borderId="6" xfId="0" applyNumberFormat="1" applyFont="1" applyBorder="1" applyAlignment="1" applyProtection="1">
      <alignment horizontal="center" vertical="center"/>
      <protection locked="0"/>
    </xf>
    <xf numFmtId="176" fontId="1" fillId="0" borderId="7" xfId="0" applyNumberFormat="1" applyFont="1" applyBorder="1" applyAlignment="1" applyProtection="1">
      <alignment horizontal="center" vertical="center"/>
      <protection locked="0"/>
    </xf>
    <xf numFmtId="176" fontId="1" fillId="0" borderId="11" xfId="0" applyNumberFormat="1" applyFont="1" applyBorder="1" applyAlignment="1" applyProtection="1">
      <alignment horizontal="center" vertical="center"/>
      <protection locked="0"/>
    </xf>
    <xf numFmtId="176" fontId="1" fillId="0" borderId="4" xfId="0" applyNumberFormat="1" applyFont="1" applyBorder="1" applyAlignment="1" applyProtection="1">
      <alignment horizontal="center" vertical="center"/>
      <protection locked="0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textRotation="255"/>
      <protection locked="0"/>
    </xf>
    <xf numFmtId="0" fontId="1" fillId="2" borderId="4" xfId="0" applyFont="1" applyFill="1" applyBorder="1" applyAlignment="1" applyProtection="1">
      <alignment horizontal="center" vertical="center" textRotation="255"/>
      <protection locked="0"/>
    </xf>
    <xf numFmtId="0" fontId="1" fillId="2" borderId="1" xfId="0" applyFont="1" applyFill="1" applyBorder="1" applyAlignment="1" applyProtection="1">
      <alignment horizontal="center" vertical="center" textRotation="255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textRotation="255"/>
      <protection locked="0"/>
    </xf>
    <xf numFmtId="0" fontId="1" fillId="2" borderId="11" xfId="0" applyFont="1" applyFill="1" applyBorder="1" applyAlignment="1" applyProtection="1">
      <alignment horizontal="center" vertical="center" textRotation="255"/>
      <protection locked="0"/>
    </xf>
    <xf numFmtId="0" fontId="1" fillId="2" borderId="9" xfId="0" applyFont="1" applyFill="1" applyBorder="1" applyAlignment="1" applyProtection="1">
      <alignment horizontal="center" vertical="center" textRotation="255"/>
      <protection locked="0"/>
    </xf>
    <xf numFmtId="0" fontId="1" fillId="2" borderId="5" xfId="0" applyFont="1" applyFill="1" applyBorder="1" applyAlignment="1" applyProtection="1">
      <alignment horizontal="center" vertical="center" justifyLastLine="1"/>
      <protection locked="0"/>
    </xf>
    <xf numFmtId="0" fontId="1" fillId="2" borderId="9" xfId="0" applyFont="1" applyFill="1" applyBorder="1" applyAlignment="1" applyProtection="1">
      <alignment horizontal="center" vertical="center" justifyLastLine="1"/>
      <protection locked="0"/>
    </xf>
    <xf numFmtId="0" fontId="1" fillId="2" borderId="2" xfId="0" applyFont="1" applyFill="1" applyBorder="1" applyAlignment="1" applyProtection="1">
      <alignment horizontal="center" vertical="center" justifyLastLine="1"/>
      <protection locked="0"/>
    </xf>
    <xf numFmtId="0" fontId="1" fillId="2" borderId="11" xfId="0" applyFont="1" applyFill="1" applyBorder="1" applyAlignment="1" applyProtection="1">
      <alignment horizontal="center" vertical="center" justifyLastLine="1"/>
      <protection locked="0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938FD-3250-4F06-9ACD-4041F6FACCD7}">
  <sheetPr>
    <pageSetUpPr fitToPage="1"/>
  </sheetPr>
  <dimension ref="A1:W123"/>
  <sheetViews>
    <sheetView showGridLines="0" tabSelected="1" zoomScale="120" zoomScaleNormal="12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Y44" sqref="Y44"/>
    </sheetView>
  </sheetViews>
  <sheetFormatPr defaultRowHeight="11.25" customHeight="1" x14ac:dyDescent="0.15"/>
  <cols>
    <col min="1" max="1" width="2.5" style="4" customWidth="1"/>
    <col min="2" max="2" width="2.375" style="4" bestFit="1" customWidth="1"/>
    <col min="3" max="3" width="1.125" style="4" customWidth="1"/>
    <col min="4" max="4" width="5.625" style="4" customWidth="1"/>
    <col min="5" max="5" width="4.625" style="4" bestFit="1" customWidth="1"/>
    <col min="6" max="6" width="4.375" style="4" customWidth="1"/>
    <col min="7" max="7" width="4.625" style="4" bestFit="1" customWidth="1"/>
    <col min="8" max="8" width="5" style="4" bestFit="1" customWidth="1"/>
    <col min="9" max="12" width="4.625" style="4" bestFit="1" customWidth="1"/>
    <col min="13" max="13" width="4.75" style="4" bestFit="1" customWidth="1"/>
    <col min="14" max="19" width="4.625" style="4" bestFit="1" customWidth="1"/>
    <col min="20" max="20" width="4.5" style="4" bestFit="1" customWidth="1"/>
    <col min="21" max="21" width="4.375" style="4" customWidth="1"/>
    <col min="22" max="22" width="5.5" style="4" customWidth="1"/>
    <col min="23" max="256" width="9" style="4"/>
    <col min="257" max="257" width="2.5" style="4" customWidth="1"/>
    <col min="258" max="258" width="2.375" style="4" bestFit="1" customWidth="1"/>
    <col min="259" max="259" width="1.125" style="4" customWidth="1"/>
    <col min="260" max="260" width="5.625" style="4" customWidth="1"/>
    <col min="261" max="261" width="4.625" style="4" bestFit="1" customWidth="1"/>
    <col min="262" max="262" width="4.375" style="4" customWidth="1"/>
    <col min="263" max="263" width="4.625" style="4" bestFit="1" customWidth="1"/>
    <col min="264" max="264" width="5" style="4" bestFit="1" customWidth="1"/>
    <col min="265" max="268" width="4.625" style="4" bestFit="1" customWidth="1"/>
    <col min="269" max="269" width="4.75" style="4" bestFit="1" customWidth="1"/>
    <col min="270" max="275" width="4.625" style="4" bestFit="1" customWidth="1"/>
    <col min="276" max="276" width="4.5" style="4" bestFit="1" customWidth="1"/>
    <col min="277" max="277" width="4.375" style="4" customWidth="1"/>
    <col min="278" max="278" width="5.5" style="4" customWidth="1"/>
    <col min="279" max="512" width="9" style="4"/>
    <col min="513" max="513" width="2.5" style="4" customWidth="1"/>
    <col min="514" max="514" width="2.375" style="4" bestFit="1" customWidth="1"/>
    <col min="515" max="515" width="1.125" style="4" customWidth="1"/>
    <col min="516" max="516" width="5.625" style="4" customWidth="1"/>
    <col min="517" max="517" width="4.625" style="4" bestFit="1" customWidth="1"/>
    <col min="518" max="518" width="4.375" style="4" customWidth="1"/>
    <col min="519" max="519" width="4.625" style="4" bestFit="1" customWidth="1"/>
    <col min="520" max="520" width="5" style="4" bestFit="1" customWidth="1"/>
    <col min="521" max="524" width="4.625" style="4" bestFit="1" customWidth="1"/>
    <col min="525" max="525" width="4.75" style="4" bestFit="1" customWidth="1"/>
    <col min="526" max="531" width="4.625" style="4" bestFit="1" customWidth="1"/>
    <col min="532" max="532" width="4.5" style="4" bestFit="1" customWidth="1"/>
    <col min="533" max="533" width="4.375" style="4" customWidth="1"/>
    <col min="534" max="534" width="5.5" style="4" customWidth="1"/>
    <col min="535" max="768" width="9" style="4"/>
    <col min="769" max="769" width="2.5" style="4" customWidth="1"/>
    <col min="770" max="770" width="2.375" style="4" bestFit="1" customWidth="1"/>
    <col min="771" max="771" width="1.125" style="4" customWidth="1"/>
    <col min="772" max="772" width="5.625" style="4" customWidth="1"/>
    <col min="773" max="773" width="4.625" style="4" bestFit="1" customWidth="1"/>
    <col min="774" max="774" width="4.375" style="4" customWidth="1"/>
    <col min="775" max="775" width="4.625" style="4" bestFit="1" customWidth="1"/>
    <col min="776" max="776" width="5" style="4" bestFit="1" customWidth="1"/>
    <col min="777" max="780" width="4.625" style="4" bestFit="1" customWidth="1"/>
    <col min="781" max="781" width="4.75" style="4" bestFit="1" customWidth="1"/>
    <col min="782" max="787" width="4.625" style="4" bestFit="1" customWidth="1"/>
    <col min="788" max="788" width="4.5" style="4" bestFit="1" customWidth="1"/>
    <col min="789" max="789" width="4.375" style="4" customWidth="1"/>
    <col min="790" max="790" width="5.5" style="4" customWidth="1"/>
    <col min="791" max="1024" width="9" style="4"/>
    <col min="1025" max="1025" width="2.5" style="4" customWidth="1"/>
    <col min="1026" max="1026" width="2.375" style="4" bestFit="1" customWidth="1"/>
    <col min="1027" max="1027" width="1.125" style="4" customWidth="1"/>
    <col min="1028" max="1028" width="5.625" style="4" customWidth="1"/>
    <col min="1029" max="1029" width="4.625" style="4" bestFit="1" customWidth="1"/>
    <col min="1030" max="1030" width="4.375" style="4" customWidth="1"/>
    <col min="1031" max="1031" width="4.625" style="4" bestFit="1" customWidth="1"/>
    <col min="1032" max="1032" width="5" style="4" bestFit="1" customWidth="1"/>
    <col min="1033" max="1036" width="4.625" style="4" bestFit="1" customWidth="1"/>
    <col min="1037" max="1037" width="4.75" style="4" bestFit="1" customWidth="1"/>
    <col min="1038" max="1043" width="4.625" style="4" bestFit="1" customWidth="1"/>
    <col min="1044" max="1044" width="4.5" style="4" bestFit="1" customWidth="1"/>
    <col min="1045" max="1045" width="4.375" style="4" customWidth="1"/>
    <col min="1046" max="1046" width="5.5" style="4" customWidth="1"/>
    <col min="1047" max="1280" width="9" style="4"/>
    <col min="1281" max="1281" width="2.5" style="4" customWidth="1"/>
    <col min="1282" max="1282" width="2.375" style="4" bestFit="1" customWidth="1"/>
    <col min="1283" max="1283" width="1.125" style="4" customWidth="1"/>
    <col min="1284" max="1284" width="5.625" style="4" customWidth="1"/>
    <col min="1285" max="1285" width="4.625" style="4" bestFit="1" customWidth="1"/>
    <col min="1286" max="1286" width="4.375" style="4" customWidth="1"/>
    <col min="1287" max="1287" width="4.625" style="4" bestFit="1" customWidth="1"/>
    <col min="1288" max="1288" width="5" style="4" bestFit="1" customWidth="1"/>
    <col min="1289" max="1292" width="4.625" style="4" bestFit="1" customWidth="1"/>
    <col min="1293" max="1293" width="4.75" style="4" bestFit="1" customWidth="1"/>
    <col min="1294" max="1299" width="4.625" style="4" bestFit="1" customWidth="1"/>
    <col min="1300" max="1300" width="4.5" style="4" bestFit="1" customWidth="1"/>
    <col min="1301" max="1301" width="4.375" style="4" customWidth="1"/>
    <col min="1302" max="1302" width="5.5" style="4" customWidth="1"/>
    <col min="1303" max="1536" width="9" style="4"/>
    <col min="1537" max="1537" width="2.5" style="4" customWidth="1"/>
    <col min="1538" max="1538" width="2.375" style="4" bestFit="1" customWidth="1"/>
    <col min="1539" max="1539" width="1.125" style="4" customWidth="1"/>
    <col min="1540" max="1540" width="5.625" style="4" customWidth="1"/>
    <col min="1541" max="1541" width="4.625" style="4" bestFit="1" customWidth="1"/>
    <col min="1542" max="1542" width="4.375" style="4" customWidth="1"/>
    <col min="1543" max="1543" width="4.625" style="4" bestFit="1" customWidth="1"/>
    <col min="1544" max="1544" width="5" style="4" bestFit="1" customWidth="1"/>
    <col min="1545" max="1548" width="4.625" style="4" bestFit="1" customWidth="1"/>
    <col min="1549" max="1549" width="4.75" style="4" bestFit="1" customWidth="1"/>
    <col min="1550" max="1555" width="4.625" style="4" bestFit="1" customWidth="1"/>
    <col min="1556" max="1556" width="4.5" style="4" bestFit="1" customWidth="1"/>
    <col min="1557" max="1557" width="4.375" style="4" customWidth="1"/>
    <col min="1558" max="1558" width="5.5" style="4" customWidth="1"/>
    <col min="1559" max="1792" width="9" style="4"/>
    <col min="1793" max="1793" width="2.5" style="4" customWidth="1"/>
    <col min="1794" max="1794" width="2.375" style="4" bestFit="1" customWidth="1"/>
    <col min="1795" max="1795" width="1.125" style="4" customWidth="1"/>
    <col min="1796" max="1796" width="5.625" style="4" customWidth="1"/>
    <col min="1797" max="1797" width="4.625" style="4" bestFit="1" customWidth="1"/>
    <col min="1798" max="1798" width="4.375" style="4" customWidth="1"/>
    <col min="1799" max="1799" width="4.625" style="4" bestFit="1" customWidth="1"/>
    <col min="1800" max="1800" width="5" style="4" bestFit="1" customWidth="1"/>
    <col min="1801" max="1804" width="4.625" style="4" bestFit="1" customWidth="1"/>
    <col min="1805" max="1805" width="4.75" style="4" bestFit="1" customWidth="1"/>
    <col min="1806" max="1811" width="4.625" style="4" bestFit="1" customWidth="1"/>
    <col min="1812" max="1812" width="4.5" style="4" bestFit="1" customWidth="1"/>
    <col min="1813" max="1813" width="4.375" style="4" customWidth="1"/>
    <col min="1814" max="1814" width="5.5" style="4" customWidth="1"/>
    <col min="1815" max="2048" width="9" style="4"/>
    <col min="2049" max="2049" width="2.5" style="4" customWidth="1"/>
    <col min="2050" max="2050" width="2.375" style="4" bestFit="1" customWidth="1"/>
    <col min="2051" max="2051" width="1.125" style="4" customWidth="1"/>
    <col min="2052" max="2052" width="5.625" style="4" customWidth="1"/>
    <col min="2053" max="2053" width="4.625" style="4" bestFit="1" customWidth="1"/>
    <col min="2054" max="2054" width="4.375" style="4" customWidth="1"/>
    <col min="2055" max="2055" width="4.625" style="4" bestFit="1" customWidth="1"/>
    <col min="2056" max="2056" width="5" style="4" bestFit="1" customWidth="1"/>
    <col min="2057" max="2060" width="4.625" style="4" bestFit="1" customWidth="1"/>
    <col min="2061" max="2061" width="4.75" style="4" bestFit="1" customWidth="1"/>
    <col min="2062" max="2067" width="4.625" style="4" bestFit="1" customWidth="1"/>
    <col min="2068" max="2068" width="4.5" style="4" bestFit="1" customWidth="1"/>
    <col min="2069" max="2069" width="4.375" style="4" customWidth="1"/>
    <col min="2070" max="2070" width="5.5" style="4" customWidth="1"/>
    <col min="2071" max="2304" width="9" style="4"/>
    <col min="2305" max="2305" width="2.5" style="4" customWidth="1"/>
    <col min="2306" max="2306" width="2.375" style="4" bestFit="1" customWidth="1"/>
    <col min="2307" max="2307" width="1.125" style="4" customWidth="1"/>
    <col min="2308" max="2308" width="5.625" style="4" customWidth="1"/>
    <col min="2309" max="2309" width="4.625" style="4" bestFit="1" customWidth="1"/>
    <col min="2310" max="2310" width="4.375" style="4" customWidth="1"/>
    <col min="2311" max="2311" width="4.625" style="4" bestFit="1" customWidth="1"/>
    <col min="2312" max="2312" width="5" style="4" bestFit="1" customWidth="1"/>
    <col min="2313" max="2316" width="4.625" style="4" bestFit="1" customWidth="1"/>
    <col min="2317" max="2317" width="4.75" style="4" bestFit="1" customWidth="1"/>
    <col min="2318" max="2323" width="4.625" style="4" bestFit="1" customWidth="1"/>
    <col min="2324" max="2324" width="4.5" style="4" bestFit="1" customWidth="1"/>
    <col min="2325" max="2325" width="4.375" style="4" customWidth="1"/>
    <col min="2326" max="2326" width="5.5" style="4" customWidth="1"/>
    <col min="2327" max="2560" width="9" style="4"/>
    <col min="2561" max="2561" width="2.5" style="4" customWidth="1"/>
    <col min="2562" max="2562" width="2.375" style="4" bestFit="1" customWidth="1"/>
    <col min="2563" max="2563" width="1.125" style="4" customWidth="1"/>
    <col min="2564" max="2564" width="5.625" style="4" customWidth="1"/>
    <col min="2565" max="2565" width="4.625" style="4" bestFit="1" customWidth="1"/>
    <col min="2566" max="2566" width="4.375" style="4" customWidth="1"/>
    <col min="2567" max="2567" width="4.625" style="4" bestFit="1" customWidth="1"/>
    <col min="2568" max="2568" width="5" style="4" bestFit="1" customWidth="1"/>
    <col min="2569" max="2572" width="4.625" style="4" bestFit="1" customWidth="1"/>
    <col min="2573" max="2573" width="4.75" style="4" bestFit="1" customWidth="1"/>
    <col min="2574" max="2579" width="4.625" style="4" bestFit="1" customWidth="1"/>
    <col min="2580" max="2580" width="4.5" style="4" bestFit="1" customWidth="1"/>
    <col min="2581" max="2581" width="4.375" style="4" customWidth="1"/>
    <col min="2582" max="2582" width="5.5" style="4" customWidth="1"/>
    <col min="2583" max="2816" width="9" style="4"/>
    <col min="2817" max="2817" width="2.5" style="4" customWidth="1"/>
    <col min="2818" max="2818" width="2.375" style="4" bestFit="1" customWidth="1"/>
    <col min="2819" max="2819" width="1.125" style="4" customWidth="1"/>
    <col min="2820" max="2820" width="5.625" style="4" customWidth="1"/>
    <col min="2821" max="2821" width="4.625" style="4" bestFit="1" customWidth="1"/>
    <col min="2822" max="2822" width="4.375" style="4" customWidth="1"/>
    <col min="2823" max="2823" width="4.625" style="4" bestFit="1" customWidth="1"/>
    <col min="2824" max="2824" width="5" style="4" bestFit="1" customWidth="1"/>
    <col min="2825" max="2828" width="4.625" style="4" bestFit="1" customWidth="1"/>
    <col min="2829" max="2829" width="4.75" style="4" bestFit="1" customWidth="1"/>
    <col min="2830" max="2835" width="4.625" style="4" bestFit="1" customWidth="1"/>
    <col min="2836" max="2836" width="4.5" style="4" bestFit="1" customWidth="1"/>
    <col min="2837" max="2837" width="4.375" style="4" customWidth="1"/>
    <col min="2838" max="2838" width="5.5" style="4" customWidth="1"/>
    <col min="2839" max="3072" width="9" style="4"/>
    <col min="3073" max="3073" width="2.5" style="4" customWidth="1"/>
    <col min="3074" max="3074" width="2.375" style="4" bestFit="1" customWidth="1"/>
    <col min="3075" max="3075" width="1.125" style="4" customWidth="1"/>
    <col min="3076" max="3076" width="5.625" style="4" customWidth="1"/>
    <col min="3077" max="3077" width="4.625" style="4" bestFit="1" customWidth="1"/>
    <col min="3078" max="3078" width="4.375" style="4" customWidth="1"/>
    <col min="3079" max="3079" width="4.625" style="4" bestFit="1" customWidth="1"/>
    <col min="3080" max="3080" width="5" style="4" bestFit="1" customWidth="1"/>
    <col min="3081" max="3084" width="4.625" style="4" bestFit="1" customWidth="1"/>
    <col min="3085" max="3085" width="4.75" style="4" bestFit="1" customWidth="1"/>
    <col min="3086" max="3091" width="4.625" style="4" bestFit="1" customWidth="1"/>
    <col min="3092" max="3092" width="4.5" style="4" bestFit="1" customWidth="1"/>
    <col min="3093" max="3093" width="4.375" style="4" customWidth="1"/>
    <col min="3094" max="3094" width="5.5" style="4" customWidth="1"/>
    <col min="3095" max="3328" width="9" style="4"/>
    <col min="3329" max="3329" width="2.5" style="4" customWidth="1"/>
    <col min="3330" max="3330" width="2.375" style="4" bestFit="1" customWidth="1"/>
    <col min="3331" max="3331" width="1.125" style="4" customWidth="1"/>
    <col min="3332" max="3332" width="5.625" style="4" customWidth="1"/>
    <col min="3333" max="3333" width="4.625" style="4" bestFit="1" customWidth="1"/>
    <col min="3334" max="3334" width="4.375" style="4" customWidth="1"/>
    <col min="3335" max="3335" width="4.625" style="4" bestFit="1" customWidth="1"/>
    <col min="3336" max="3336" width="5" style="4" bestFit="1" customWidth="1"/>
    <col min="3337" max="3340" width="4.625" style="4" bestFit="1" customWidth="1"/>
    <col min="3341" max="3341" width="4.75" style="4" bestFit="1" customWidth="1"/>
    <col min="3342" max="3347" width="4.625" style="4" bestFit="1" customWidth="1"/>
    <col min="3348" max="3348" width="4.5" style="4" bestFit="1" customWidth="1"/>
    <col min="3349" max="3349" width="4.375" style="4" customWidth="1"/>
    <col min="3350" max="3350" width="5.5" style="4" customWidth="1"/>
    <col min="3351" max="3584" width="9" style="4"/>
    <col min="3585" max="3585" width="2.5" style="4" customWidth="1"/>
    <col min="3586" max="3586" width="2.375" style="4" bestFit="1" customWidth="1"/>
    <col min="3587" max="3587" width="1.125" style="4" customWidth="1"/>
    <col min="3588" max="3588" width="5.625" style="4" customWidth="1"/>
    <col min="3589" max="3589" width="4.625" style="4" bestFit="1" customWidth="1"/>
    <col min="3590" max="3590" width="4.375" style="4" customWidth="1"/>
    <col min="3591" max="3591" width="4.625" style="4" bestFit="1" customWidth="1"/>
    <col min="3592" max="3592" width="5" style="4" bestFit="1" customWidth="1"/>
    <col min="3593" max="3596" width="4.625" style="4" bestFit="1" customWidth="1"/>
    <col min="3597" max="3597" width="4.75" style="4" bestFit="1" customWidth="1"/>
    <col min="3598" max="3603" width="4.625" style="4" bestFit="1" customWidth="1"/>
    <col min="3604" max="3604" width="4.5" style="4" bestFit="1" customWidth="1"/>
    <col min="3605" max="3605" width="4.375" style="4" customWidth="1"/>
    <col min="3606" max="3606" width="5.5" style="4" customWidth="1"/>
    <col min="3607" max="3840" width="9" style="4"/>
    <col min="3841" max="3841" width="2.5" style="4" customWidth="1"/>
    <col min="3842" max="3842" width="2.375" style="4" bestFit="1" customWidth="1"/>
    <col min="3843" max="3843" width="1.125" style="4" customWidth="1"/>
    <col min="3844" max="3844" width="5.625" style="4" customWidth="1"/>
    <col min="3845" max="3845" width="4.625" style="4" bestFit="1" customWidth="1"/>
    <col min="3846" max="3846" width="4.375" style="4" customWidth="1"/>
    <col min="3847" max="3847" width="4.625" style="4" bestFit="1" customWidth="1"/>
    <col min="3848" max="3848" width="5" style="4" bestFit="1" customWidth="1"/>
    <col min="3849" max="3852" width="4.625" style="4" bestFit="1" customWidth="1"/>
    <col min="3853" max="3853" width="4.75" style="4" bestFit="1" customWidth="1"/>
    <col min="3854" max="3859" width="4.625" style="4" bestFit="1" customWidth="1"/>
    <col min="3860" max="3860" width="4.5" style="4" bestFit="1" customWidth="1"/>
    <col min="3861" max="3861" width="4.375" style="4" customWidth="1"/>
    <col min="3862" max="3862" width="5.5" style="4" customWidth="1"/>
    <col min="3863" max="4096" width="9" style="4"/>
    <col min="4097" max="4097" width="2.5" style="4" customWidth="1"/>
    <col min="4098" max="4098" width="2.375" style="4" bestFit="1" customWidth="1"/>
    <col min="4099" max="4099" width="1.125" style="4" customWidth="1"/>
    <col min="4100" max="4100" width="5.625" style="4" customWidth="1"/>
    <col min="4101" max="4101" width="4.625" style="4" bestFit="1" customWidth="1"/>
    <col min="4102" max="4102" width="4.375" style="4" customWidth="1"/>
    <col min="4103" max="4103" width="4.625" style="4" bestFit="1" customWidth="1"/>
    <col min="4104" max="4104" width="5" style="4" bestFit="1" customWidth="1"/>
    <col min="4105" max="4108" width="4.625" style="4" bestFit="1" customWidth="1"/>
    <col min="4109" max="4109" width="4.75" style="4" bestFit="1" customWidth="1"/>
    <col min="4110" max="4115" width="4.625" style="4" bestFit="1" customWidth="1"/>
    <col min="4116" max="4116" width="4.5" style="4" bestFit="1" customWidth="1"/>
    <col min="4117" max="4117" width="4.375" style="4" customWidth="1"/>
    <col min="4118" max="4118" width="5.5" style="4" customWidth="1"/>
    <col min="4119" max="4352" width="9" style="4"/>
    <col min="4353" max="4353" width="2.5" style="4" customWidth="1"/>
    <col min="4354" max="4354" width="2.375" style="4" bestFit="1" customWidth="1"/>
    <col min="4355" max="4355" width="1.125" style="4" customWidth="1"/>
    <col min="4356" max="4356" width="5.625" style="4" customWidth="1"/>
    <col min="4357" max="4357" width="4.625" style="4" bestFit="1" customWidth="1"/>
    <col min="4358" max="4358" width="4.375" style="4" customWidth="1"/>
    <col min="4359" max="4359" width="4.625" style="4" bestFit="1" customWidth="1"/>
    <col min="4360" max="4360" width="5" style="4" bestFit="1" customWidth="1"/>
    <col min="4361" max="4364" width="4.625" style="4" bestFit="1" customWidth="1"/>
    <col min="4365" max="4365" width="4.75" style="4" bestFit="1" customWidth="1"/>
    <col min="4366" max="4371" width="4.625" style="4" bestFit="1" customWidth="1"/>
    <col min="4372" max="4372" width="4.5" style="4" bestFit="1" customWidth="1"/>
    <col min="4373" max="4373" width="4.375" style="4" customWidth="1"/>
    <col min="4374" max="4374" width="5.5" style="4" customWidth="1"/>
    <col min="4375" max="4608" width="9" style="4"/>
    <col min="4609" max="4609" width="2.5" style="4" customWidth="1"/>
    <col min="4610" max="4610" width="2.375" style="4" bestFit="1" customWidth="1"/>
    <col min="4611" max="4611" width="1.125" style="4" customWidth="1"/>
    <col min="4612" max="4612" width="5.625" style="4" customWidth="1"/>
    <col min="4613" max="4613" width="4.625" style="4" bestFit="1" customWidth="1"/>
    <col min="4614" max="4614" width="4.375" style="4" customWidth="1"/>
    <col min="4615" max="4615" width="4.625" style="4" bestFit="1" customWidth="1"/>
    <col min="4616" max="4616" width="5" style="4" bestFit="1" customWidth="1"/>
    <col min="4617" max="4620" width="4.625" style="4" bestFit="1" customWidth="1"/>
    <col min="4621" max="4621" width="4.75" style="4" bestFit="1" customWidth="1"/>
    <col min="4622" max="4627" width="4.625" style="4" bestFit="1" customWidth="1"/>
    <col min="4628" max="4628" width="4.5" style="4" bestFit="1" customWidth="1"/>
    <col min="4629" max="4629" width="4.375" style="4" customWidth="1"/>
    <col min="4630" max="4630" width="5.5" style="4" customWidth="1"/>
    <col min="4631" max="4864" width="9" style="4"/>
    <col min="4865" max="4865" width="2.5" style="4" customWidth="1"/>
    <col min="4866" max="4866" width="2.375" style="4" bestFit="1" customWidth="1"/>
    <col min="4867" max="4867" width="1.125" style="4" customWidth="1"/>
    <col min="4868" max="4868" width="5.625" style="4" customWidth="1"/>
    <col min="4869" max="4869" width="4.625" style="4" bestFit="1" customWidth="1"/>
    <col min="4870" max="4870" width="4.375" style="4" customWidth="1"/>
    <col min="4871" max="4871" width="4.625" style="4" bestFit="1" customWidth="1"/>
    <col min="4872" max="4872" width="5" style="4" bestFit="1" customWidth="1"/>
    <col min="4873" max="4876" width="4.625" style="4" bestFit="1" customWidth="1"/>
    <col min="4877" max="4877" width="4.75" style="4" bestFit="1" customWidth="1"/>
    <col min="4878" max="4883" width="4.625" style="4" bestFit="1" customWidth="1"/>
    <col min="4884" max="4884" width="4.5" style="4" bestFit="1" customWidth="1"/>
    <col min="4885" max="4885" width="4.375" style="4" customWidth="1"/>
    <col min="4886" max="4886" width="5.5" style="4" customWidth="1"/>
    <col min="4887" max="5120" width="9" style="4"/>
    <col min="5121" max="5121" width="2.5" style="4" customWidth="1"/>
    <col min="5122" max="5122" width="2.375" style="4" bestFit="1" customWidth="1"/>
    <col min="5123" max="5123" width="1.125" style="4" customWidth="1"/>
    <col min="5124" max="5124" width="5.625" style="4" customWidth="1"/>
    <col min="5125" max="5125" width="4.625" style="4" bestFit="1" customWidth="1"/>
    <col min="5126" max="5126" width="4.375" style="4" customWidth="1"/>
    <col min="5127" max="5127" width="4.625" style="4" bestFit="1" customWidth="1"/>
    <col min="5128" max="5128" width="5" style="4" bestFit="1" customWidth="1"/>
    <col min="5129" max="5132" width="4.625" style="4" bestFit="1" customWidth="1"/>
    <col min="5133" max="5133" width="4.75" style="4" bestFit="1" customWidth="1"/>
    <col min="5134" max="5139" width="4.625" style="4" bestFit="1" customWidth="1"/>
    <col min="5140" max="5140" width="4.5" style="4" bestFit="1" customWidth="1"/>
    <col min="5141" max="5141" width="4.375" style="4" customWidth="1"/>
    <col min="5142" max="5142" width="5.5" style="4" customWidth="1"/>
    <col min="5143" max="5376" width="9" style="4"/>
    <col min="5377" max="5377" width="2.5" style="4" customWidth="1"/>
    <col min="5378" max="5378" width="2.375" style="4" bestFit="1" customWidth="1"/>
    <col min="5379" max="5379" width="1.125" style="4" customWidth="1"/>
    <col min="5380" max="5380" width="5.625" style="4" customWidth="1"/>
    <col min="5381" max="5381" width="4.625" style="4" bestFit="1" customWidth="1"/>
    <col min="5382" max="5382" width="4.375" style="4" customWidth="1"/>
    <col min="5383" max="5383" width="4.625" style="4" bestFit="1" customWidth="1"/>
    <col min="5384" max="5384" width="5" style="4" bestFit="1" customWidth="1"/>
    <col min="5385" max="5388" width="4.625" style="4" bestFit="1" customWidth="1"/>
    <col min="5389" max="5389" width="4.75" style="4" bestFit="1" customWidth="1"/>
    <col min="5390" max="5395" width="4.625" style="4" bestFit="1" customWidth="1"/>
    <col min="5396" max="5396" width="4.5" style="4" bestFit="1" customWidth="1"/>
    <col min="5397" max="5397" width="4.375" style="4" customWidth="1"/>
    <col min="5398" max="5398" width="5.5" style="4" customWidth="1"/>
    <col min="5399" max="5632" width="9" style="4"/>
    <col min="5633" max="5633" width="2.5" style="4" customWidth="1"/>
    <col min="5634" max="5634" width="2.375" style="4" bestFit="1" customWidth="1"/>
    <col min="5635" max="5635" width="1.125" style="4" customWidth="1"/>
    <col min="5636" max="5636" width="5.625" style="4" customWidth="1"/>
    <col min="5637" max="5637" width="4.625" style="4" bestFit="1" customWidth="1"/>
    <col min="5638" max="5638" width="4.375" style="4" customWidth="1"/>
    <col min="5639" max="5639" width="4.625" style="4" bestFit="1" customWidth="1"/>
    <col min="5640" max="5640" width="5" style="4" bestFit="1" customWidth="1"/>
    <col min="5641" max="5644" width="4.625" style="4" bestFit="1" customWidth="1"/>
    <col min="5645" max="5645" width="4.75" style="4" bestFit="1" customWidth="1"/>
    <col min="5646" max="5651" width="4.625" style="4" bestFit="1" customWidth="1"/>
    <col min="5652" max="5652" width="4.5" style="4" bestFit="1" customWidth="1"/>
    <col min="5653" max="5653" width="4.375" style="4" customWidth="1"/>
    <col min="5654" max="5654" width="5.5" style="4" customWidth="1"/>
    <col min="5655" max="5888" width="9" style="4"/>
    <col min="5889" max="5889" width="2.5" style="4" customWidth="1"/>
    <col min="5890" max="5890" width="2.375" style="4" bestFit="1" customWidth="1"/>
    <col min="5891" max="5891" width="1.125" style="4" customWidth="1"/>
    <col min="5892" max="5892" width="5.625" style="4" customWidth="1"/>
    <col min="5893" max="5893" width="4.625" style="4" bestFit="1" customWidth="1"/>
    <col min="5894" max="5894" width="4.375" style="4" customWidth="1"/>
    <col min="5895" max="5895" width="4.625" style="4" bestFit="1" customWidth="1"/>
    <col min="5896" max="5896" width="5" style="4" bestFit="1" customWidth="1"/>
    <col min="5897" max="5900" width="4.625" style="4" bestFit="1" customWidth="1"/>
    <col min="5901" max="5901" width="4.75" style="4" bestFit="1" customWidth="1"/>
    <col min="5902" max="5907" width="4.625" style="4" bestFit="1" customWidth="1"/>
    <col min="5908" max="5908" width="4.5" style="4" bestFit="1" customWidth="1"/>
    <col min="5909" max="5909" width="4.375" style="4" customWidth="1"/>
    <col min="5910" max="5910" width="5.5" style="4" customWidth="1"/>
    <col min="5911" max="6144" width="9" style="4"/>
    <col min="6145" max="6145" width="2.5" style="4" customWidth="1"/>
    <col min="6146" max="6146" width="2.375" style="4" bestFit="1" customWidth="1"/>
    <col min="6147" max="6147" width="1.125" style="4" customWidth="1"/>
    <col min="6148" max="6148" width="5.625" style="4" customWidth="1"/>
    <col min="6149" max="6149" width="4.625" style="4" bestFit="1" customWidth="1"/>
    <col min="6150" max="6150" width="4.375" style="4" customWidth="1"/>
    <col min="6151" max="6151" width="4.625" style="4" bestFit="1" customWidth="1"/>
    <col min="6152" max="6152" width="5" style="4" bestFit="1" customWidth="1"/>
    <col min="6153" max="6156" width="4.625" style="4" bestFit="1" customWidth="1"/>
    <col min="6157" max="6157" width="4.75" style="4" bestFit="1" customWidth="1"/>
    <col min="6158" max="6163" width="4.625" style="4" bestFit="1" customWidth="1"/>
    <col min="6164" max="6164" width="4.5" style="4" bestFit="1" customWidth="1"/>
    <col min="6165" max="6165" width="4.375" style="4" customWidth="1"/>
    <col min="6166" max="6166" width="5.5" style="4" customWidth="1"/>
    <col min="6167" max="6400" width="9" style="4"/>
    <col min="6401" max="6401" width="2.5" style="4" customWidth="1"/>
    <col min="6402" max="6402" width="2.375" style="4" bestFit="1" customWidth="1"/>
    <col min="6403" max="6403" width="1.125" style="4" customWidth="1"/>
    <col min="6404" max="6404" width="5.625" style="4" customWidth="1"/>
    <col min="6405" max="6405" width="4.625" style="4" bestFit="1" customWidth="1"/>
    <col min="6406" max="6406" width="4.375" style="4" customWidth="1"/>
    <col min="6407" max="6407" width="4.625" style="4" bestFit="1" customWidth="1"/>
    <col min="6408" max="6408" width="5" style="4" bestFit="1" customWidth="1"/>
    <col min="6409" max="6412" width="4.625" style="4" bestFit="1" customWidth="1"/>
    <col min="6413" max="6413" width="4.75" style="4" bestFit="1" customWidth="1"/>
    <col min="6414" max="6419" width="4.625" style="4" bestFit="1" customWidth="1"/>
    <col min="6420" max="6420" width="4.5" style="4" bestFit="1" customWidth="1"/>
    <col min="6421" max="6421" width="4.375" style="4" customWidth="1"/>
    <col min="6422" max="6422" width="5.5" style="4" customWidth="1"/>
    <col min="6423" max="6656" width="9" style="4"/>
    <col min="6657" max="6657" width="2.5" style="4" customWidth="1"/>
    <col min="6658" max="6658" width="2.375" style="4" bestFit="1" customWidth="1"/>
    <col min="6659" max="6659" width="1.125" style="4" customWidth="1"/>
    <col min="6660" max="6660" width="5.625" style="4" customWidth="1"/>
    <col min="6661" max="6661" width="4.625" style="4" bestFit="1" customWidth="1"/>
    <col min="6662" max="6662" width="4.375" style="4" customWidth="1"/>
    <col min="6663" max="6663" width="4.625" style="4" bestFit="1" customWidth="1"/>
    <col min="6664" max="6664" width="5" style="4" bestFit="1" customWidth="1"/>
    <col min="6665" max="6668" width="4.625" style="4" bestFit="1" customWidth="1"/>
    <col min="6669" max="6669" width="4.75" style="4" bestFit="1" customWidth="1"/>
    <col min="6670" max="6675" width="4.625" style="4" bestFit="1" customWidth="1"/>
    <col min="6676" max="6676" width="4.5" style="4" bestFit="1" customWidth="1"/>
    <col min="6677" max="6677" width="4.375" style="4" customWidth="1"/>
    <col min="6678" max="6678" width="5.5" style="4" customWidth="1"/>
    <col min="6679" max="6912" width="9" style="4"/>
    <col min="6913" max="6913" width="2.5" style="4" customWidth="1"/>
    <col min="6914" max="6914" width="2.375" style="4" bestFit="1" customWidth="1"/>
    <col min="6915" max="6915" width="1.125" style="4" customWidth="1"/>
    <col min="6916" max="6916" width="5.625" style="4" customWidth="1"/>
    <col min="6917" max="6917" width="4.625" style="4" bestFit="1" customWidth="1"/>
    <col min="6918" max="6918" width="4.375" style="4" customWidth="1"/>
    <col min="6919" max="6919" width="4.625" style="4" bestFit="1" customWidth="1"/>
    <col min="6920" max="6920" width="5" style="4" bestFit="1" customWidth="1"/>
    <col min="6921" max="6924" width="4.625" style="4" bestFit="1" customWidth="1"/>
    <col min="6925" max="6925" width="4.75" style="4" bestFit="1" customWidth="1"/>
    <col min="6926" max="6931" width="4.625" style="4" bestFit="1" customWidth="1"/>
    <col min="6932" max="6932" width="4.5" style="4" bestFit="1" customWidth="1"/>
    <col min="6933" max="6933" width="4.375" style="4" customWidth="1"/>
    <col min="6934" max="6934" width="5.5" style="4" customWidth="1"/>
    <col min="6935" max="7168" width="9" style="4"/>
    <col min="7169" max="7169" width="2.5" style="4" customWidth="1"/>
    <col min="7170" max="7170" width="2.375" style="4" bestFit="1" customWidth="1"/>
    <col min="7171" max="7171" width="1.125" style="4" customWidth="1"/>
    <col min="7172" max="7172" width="5.625" style="4" customWidth="1"/>
    <col min="7173" max="7173" width="4.625" style="4" bestFit="1" customWidth="1"/>
    <col min="7174" max="7174" width="4.375" style="4" customWidth="1"/>
    <col min="7175" max="7175" width="4.625" style="4" bestFit="1" customWidth="1"/>
    <col min="7176" max="7176" width="5" style="4" bestFit="1" customWidth="1"/>
    <col min="7177" max="7180" width="4.625" style="4" bestFit="1" customWidth="1"/>
    <col min="7181" max="7181" width="4.75" style="4" bestFit="1" customWidth="1"/>
    <col min="7182" max="7187" width="4.625" style="4" bestFit="1" customWidth="1"/>
    <col min="7188" max="7188" width="4.5" style="4" bestFit="1" customWidth="1"/>
    <col min="7189" max="7189" width="4.375" style="4" customWidth="1"/>
    <col min="7190" max="7190" width="5.5" style="4" customWidth="1"/>
    <col min="7191" max="7424" width="9" style="4"/>
    <col min="7425" max="7425" width="2.5" style="4" customWidth="1"/>
    <col min="7426" max="7426" width="2.375" style="4" bestFit="1" customWidth="1"/>
    <col min="7427" max="7427" width="1.125" style="4" customWidth="1"/>
    <col min="7428" max="7428" width="5.625" style="4" customWidth="1"/>
    <col min="7429" max="7429" width="4.625" style="4" bestFit="1" customWidth="1"/>
    <col min="7430" max="7430" width="4.375" style="4" customWidth="1"/>
    <col min="7431" max="7431" width="4.625" style="4" bestFit="1" customWidth="1"/>
    <col min="7432" max="7432" width="5" style="4" bestFit="1" customWidth="1"/>
    <col min="7433" max="7436" width="4.625" style="4" bestFit="1" customWidth="1"/>
    <col min="7437" max="7437" width="4.75" style="4" bestFit="1" customWidth="1"/>
    <col min="7438" max="7443" width="4.625" style="4" bestFit="1" customWidth="1"/>
    <col min="7444" max="7444" width="4.5" style="4" bestFit="1" customWidth="1"/>
    <col min="7445" max="7445" width="4.375" style="4" customWidth="1"/>
    <col min="7446" max="7446" width="5.5" style="4" customWidth="1"/>
    <col min="7447" max="7680" width="9" style="4"/>
    <col min="7681" max="7681" width="2.5" style="4" customWidth="1"/>
    <col min="7682" max="7682" width="2.375" style="4" bestFit="1" customWidth="1"/>
    <col min="7683" max="7683" width="1.125" style="4" customWidth="1"/>
    <col min="7684" max="7684" width="5.625" style="4" customWidth="1"/>
    <col min="7685" max="7685" width="4.625" style="4" bestFit="1" customWidth="1"/>
    <col min="7686" max="7686" width="4.375" style="4" customWidth="1"/>
    <col min="7687" max="7687" width="4.625" style="4" bestFit="1" customWidth="1"/>
    <col min="7688" max="7688" width="5" style="4" bestFit="1" customWidth="1"/>
    <col min="7689" max="7692" width="4.625" style="4" bestFit="1" customWidth="1"/>
    <col min="7693" max="7693" width="4.75" style="4" bestFit="1" customWidth="1"/>
    <col min="7694" max="7699" width="4.625" style="4" bestFit="1" customWidth="1"/>
    <col min="7700" max="7700" width="4.5" style="4" bestFit="1" customWidth="1"/>
    <col min="7701" max="7701" width="4.375" style="4" customWidth="1"/>
    <col min="7702" max="7702" width="5.5" style="4" customWidth="1"/>
    <col min="7703" max="7936" width="9" style="4"/>
    <col min="7937" max="7937" width="2.5" style="4" customWidth="1"/>
    <col min="7938" max="7938" width="2.375" style="4" bestFit="1" customWidth="1"/>
    <col min="7939" max="7939" width="1.125" style="4" customWidth="1"/>
    <col min="7940" max="7940" width="5.625" style="4" customWidth="1"/>
    <col min="7941" max="7941" width="4.625" style="4" bestFit="1" customWidth="1"/>
    <col min="7942" max="7942" width="4.375" style="4" customWidth="1"/>
    <col min="7943" max="7943" width="4.625" style="4" bestFit="1" customWidth="1"/>
    <col min="7944" max="7944" width="5" style="4" bestFit="1" customWidth="1"/>
    <col min="7945" max="7948" width="4.625" style="4" bestFit="1" customWidth="1"/>
    <col min="7949" max="7949" width="4.75" style="4" bestFit="1" customWidth="1"/>
    <col min="7950" max="7955" width="4.625" style="4" bestFit="1" customWidth="1"/>
    <col min="7956" max="7956" width="4.5" style="4" bestFit="1" customWidth="1"/>
    <col min="7957" max="7957" width="4.375" style="4" customWidth="1"/>
    <col min="7958" max="7958" width="5.5" style="4" customWidth="1"/>
    <col min="7959" max="8192" width="9" style="4"/>
    <col min="8193" max="8193" width="2.5" style="4" customWidth="1"/>
    <col min="8194" max="8194" width="2.375" style="4" bestFit="1" customWidth="1"/>
    <col min="8195" max="8195" width="1.125" style="4" customWidth="1"/>
    <col min="8196" max="8196" width="5.625" style="4" customWidth="1"/>
    <col min="8197" max="8197" width="4.625" style="4" bestFit="1" customWidth="1"/>
    <col min="8198" max="8198" width="4.375" style="4" customWidth="1"/>
    <col min="8199" max="8199" width="4.625" style="4" bestFit="1" customWidth="1"/>
    <col min="8200" max="8200" width="5" style="4" bestFit="1" customWidth="1"/>
    <col min="8201" max="8204" width="4.625" style="4" bestFit="1" customWidth="1"/>
    <col min="8205" max="8205" width="4.75" style="4" bestFit="1" customWidth="1"/>
    <col min="8206" max="8211" width="4.625" style="4" bestFit="1" customWidth="1"/>
    <col min="8212" max="8212" width="4.5" style="4" bestFit="1" customWidth="1"/>
    <col min="8213" max="8213" width="4.375" style="4" customWidth="1"/>
    <col min="8214" max="8214" width="5.5" style="4" customWidth="1"/>
    <col min="8215" max="8448" width="9" style="4"/>
    <col min="8449" max="8449" width="2.5" style="4" customWidth="1"/>
    <col min="8450" max="8450" width="2.375" style="4" bestFit="1" customWidth="1"/>
    <col min="8451" max="8451" width="1.125" style="4" customWidth="1"/>
    <col min="8452" max="8452" width="5.625" style="4" customWidth="1"/>
    <col min="8453" max="8453" width="4.625" style="4" bestFit="1" customWidth="1"/>
    <col min="8454" max="8454" width="4.375" style="4" customWidth="1"/>
    <col min="8455" max="8455" width="4.625" style="4" bestFit="1" customWidth="1"/>
    <col min="8456" max="8456" width="5" style="4" bestFit="1" customWidth="1"/>
    <col min="8457" max="8460" width="4.625" style="4" bestFit="1" customWidth="1"/>
    <col min="8461" max="8461" width="4.75" style="4" bestFit="1" customWidth="1"/>
    <col min="8462" max="8467" width="4.625" style="4" bestFit="1" customWidth="1"/>
    <col min="8468" max="8468" width="4.5" style="4" bestFit="1" customWidth="1"/>
    <col min="8469" max="8469" width="4.375" style="4" customWidth="1"/>
    <col min="8470" max="8470" width="5.5" style="4" customWidth="1"/>
    <col min="8471" max="8704" width="9" style="4"/>
    <col min="8705" max="8705" width="2.5" style="4" customWidth="1"/>
    <col min="8706" max="8706" width="2.375" style="4" bestFit="1" customWidth="1"/>
    <col min="8707" max="8707" width="1.125" style="4" customWidth="1"/>
    <col min="8708" max="8708" width="5.625" style="4" customWidth="1"/>
    <col min="8709" max="8709" width="4.625" style="4" bestFit="1" customWidth="1"/>
    <col min="8710" max="8710" width="4.375" style="4" customWidth="1"/>
    <col min="8711" max="8711" width="4.625" style="4" bestFit="1" customWidth="1"/>
    <col min="8712" max="8712" width="5" style="4" bestFit="1" customWidth="1"/>
    <col min="8713" max="8716" width="4.625" style="4" bestFit="1" customWidth="1"/>
    <col min="8717" max="8717" width="4.75" style="4" bestFit="1" customWidth="1"/>
    <col min="8718" max="8723" width="4.625" style="4" bestFit="1" customWidth="1"/>
    <col min="8724" max="8724" width="4.5" style="4" bestFit="1" customWidth="1"/>
    <col min="8725" max="8725" width="4.375" style="4" customWidth="1"/>
    <col min="8726" max="8726" width="5.5" style="4" customWidth="1"/>
    <col min="8727" max="8960" width="9" style="4"/>
    <col min="8961" max="8961" width="2.5" style="4" customWidth="1"/>
    <col min="8962" max="8962" width="2.375" style="4" bestFit="1" customWidth="1"/>
    <col min="8963" max="8963" width="1.125" style="4" customWidth="1"/>
    <col min="8964" max="8964" width="5.625" style="4" customWidth="1"/>
    <col min="8965" max="8965" width="4.625" style="4" bestFit="1" customWidth="1"/>
    <col min="8966" max="8966" width="4.375" style="4" customWidth="1"/>
    <col min="8967" max="8967" width="4.625" style="4" bestFit="1" customWidth="1"/>
    <col min="8968" max="8968" width="5" style="4" bestFit="1" customWidth="1"/>
    <col min="8969" max="8972" width="4.625" style="4" bestFit="1" customWidth="1"/>
    <col min="8973" max="8973" width="4.75" style="4" bestFit="1" customWidth="1"/>
    <col min="8974" max="8979" width="4.625" style="4" bestFit="1" customWidth="1"/>
    <col min="8980" max="8980" width="4.5" style="4" bestFit="1" customWidth="1"/>
    <col min="8981" max="8981" width="4.375" style="4" customWidth="1"/>
    <col min="8982" max="8982" width="5.5" style="4" customWidth="1"/>
    <col min="8983" max="9216" width="9" style="4"/>
    <col min="9217" max="9217" width="2.5" style="4" customWidth="1"/>
    <col min="9218" max="9218" width="2.375" style="4" bestFit="1" customWidth="1"/>
    <col min="9219" max="9219" width="1.125" style="4" customWidth="1"/>
    <col min="9220" max="9220" width="5.625" style="4" customWidth="1"/>
    <col min="9221" max="9221" width="4.625" style="4" bestFit="1" customWidth="1"/>
    <col min="9222" max="9222" width="4.375" style="4" customWidth="1"/>
    <col min="9223" max="9223" width="4.625" style="4" bestFit="1" customWidth="1"/>
    <col min="9224" max="9224" width="5" style="4" bestFit="1" customWidth="1"/>
    <col min="9225" max="9228" width="4.625" style="4" bestFit="1" customWidth="1"/>
    <col min="9229" max="9229" width="4.75" style="4" bestFit="1" customWidth="1"/>
    <col min="9230" max="9235" width="4.625" style="4" bestFit="1" customWidth="1"/>
    <col min="9236" max="9236" width="4.5" style="4" bestFit="1" customWidth="1"/>
    <col min="9237" max="9237" width="4.375" style="4" customWidth="1"/>
    <col min="9238" max="9238" width="5.5" style="4" customWidth="1"/>
    <col min="9239" max="9472" width="9" style="4"/>
    <col min="9473" max="9473" width="2.5" style="4" customWidth="1"/>
    <col min="9474" max="9474" width="2.375" style="4" bestFit="1" customWidth="1"/>
    <col min="9475" max="9475" width="1.125" style="4" customWidth="1"/>
    <col min="9476" max="9476" width="5.625" style="4" customWidth="1"/>
    <col min="9477" max="9477" width="4.625" style="4" bestFit="1" customWidth="1"/>
    <col min="9478" max="9478" width="4.375" style="4" customWidth="1"/>
    <col min="9479" max="9479" width="4.625" style="4" bestFit="1" customWidth="1"/>
    <col min="9480" max="9480" width="5" style="4" bestFit="1" customWidth="1"/>
    <col min="9481" max="9484" width="4.625" style="4" bestFit="1" customWidth="1"/>
    <col min="9485" max="9485" width="4.75" style="4" bestFit="1" customWidth="1"/>
    <col min="9486" max="9491" width="4.625" style="4" bestFit="1" customWidth="1"/>
    <col min="9492" max="9492" width="4.5" style="4" bestFit="1" customWidth="1"/>
    <col min="9493" max="9493" width="4.375" style="4" customWidth="1"/>
    <col min="9494" max="9494" width="5.5" style="4" customWidth="1"/>
    <col min="9495" max="9728" width="9" style="4"/>
    <col min="9729" max="9729" width="2.5" style="4" customWidth="1"/>
    <col min="9730" max="9730" width="2.375" style="4" bestFit="1" customWidth="1"/>
    <col min="9731" max="9731" width="1.125" style="4" customWidth="1"/>
    <col min="9732" max="9732" width="5.625" style="4" customWidth="1"/>
    <col min="9733" max="9733" width="4.625" style="4" bestFit="1" customWidth="1"/>
    <col min="9734" max="9734" width="4.375" style="4" customWidth="1"/>
    <col min="9735" max="9735" width="4.625" style="4" bestFit="1" customWidth="1"/>
    <col min="9736" max="9736" width="5" style="4" bestFit="1" customWidth="1"/>
    <col min="9737" max="9740" width="4.625" style="4" bestFit="1" customWidth="1"/>
    <col min="9741" max="9741" width="4.75" style="4" bestFit="1" customWidth="1"/>
    <col min="9742" max="9747" width="4.625" style="4" bestFit="1" customWidth="1"/>
    <col min="9748" max="9748" width="4.5" style="4" bestFit="1" customWidth="1"/>
    <col min="9749" max="9749" width="4.375" style="4" customWidth="1"/>
    <col min="9750" max="9750" width="5.5" style="4" customWidth="1"/>
    <col min="9751" max="9984" width="9" style="4"/>
    <col min="9985" max="9985" width="2.5" style="4" customWidth="1"/>
    <col min="9986" max="9986" width="2.375" style="4" bestFit="1" customWidth="1"/>
    <col min="9987" max="9987" width="1.125" style="4" customWidth="1"/>
    <col min="9988" max="9988" width="5.625" style="4" customWidth="1"/>
    <col min="9989" max="9989" width="4.625" style="4" bestFit="1" customWidth="1"/>
    <col min="9990" max="9990" width="4.375" style="4" customWidth="1"/>
    <col min="9991" max="9991" width="4.625" style="4" bestFit="1" customWidth="1"/>
    <col min="9992" max="9992" width="5" style="4" bestFit="1" customWidth="1"/>
    <col min="9993" max="9996" width="4.625" style="4" bestFit="1" customWidth="1"/>
    <col min="9997" max="9997" width="4.75" style="4" bestFit="1" customWidth="1"/>
    <col min="9998" max="10003" width="4.625" style="4" bestFit="1" customWidth="1"/>
    <col min="10004" max="10004" width="4.5" style="4" bestFit="1" customWidth="1"/>
    <col min="10005" max="10005" width="4.375" style="4" customWidth="1"/>
    <col min="10006" max="10006" width="5.5" style="4" customWidth="1"/>
    <col min="10007" max="10240" width="9" style="4"/>
    <col min="10241" max="10241" width="2.5" style="4" customWidth="1"/>
    <col min="10242" max="10242" width="2.375" style="4" bestFit="1" customWidth="1"/>
    <col min="10243" max="10243" width="1.125" style="4" customWidth="1"/>
    <col min="10244" max="10244" width="5.625" style="4" customWidth="1"/>
    <col min="10245" max="10245" width="4.625" style="4" bestFit="1" customWidth="1"/>
    <col min="10246" max="10246" width="4.375" style="4" customWidth="1"/>
    <col min="10247" max="10247" width="4.625" style="4" bestFit="1" customWidth="1"/>
    <col min="10248" max="10248" width="5" style="4" bestFit="1" customWidth="1"/>
    <col min="10249" max="10252" width="4.625" style="4" bestFit="1" customWidth="1"/>
    <col min="10253" max="10253" width="4.75" style="4" bestFit="1" customWidth="1"/>
    <col min="10254" max="10259" width="4.625" style="4" bestFit="1" customWidth="1"/>
    <col min="10260" max="10260" width="4.5" style="4" bestFit="1" customWidth="1"/>
    <col min="10261" max="10261" width="4.375" style="4" customWidth="1"/>
    <col min="10262" max="10262" width="5.5" style="4" customWidth="1"/>
    <col min="10263" max="10496" width="9" style="4"/>
    <col min="10497" max="10497" width="2.5" style="4" customWidth="1"/>
    <col min="10498" max="10498" width="2.375" style="4" bestFit="1" customWidth="1"/>
    <col min="10499" max="10499" width="1.125" style="4" customWidth="1"/>
    <col min="10500" max="10500" width="5.625" style="4" customWidth="1"/>
    <col min="10501" max="10501" width="4.625" style="4" bestFit="1" customWidth="1"/>
    <col min="10502" max="10502" width="4.375" style="4" customWidth="1"/>
    <col min="10503" max="10503" width="4.625" style="4" bestFit="1" customWidth="1"/>
    <col min="10504" max="10504" width="5" style="4" bestFit="1" customWidth="1"/>
    <col min="10505" max="10508" width="4.625" style="4" bestFit="1" customWidth="1"/>
    <col min="10509" max="10509" width="4.75" style="4" bestFit="1" customWidth="1"/>
    <col min="10510" max="10515" width="4.625" style="4" bestFit="1" customWidth="1"/>
    <col min="10516" max="10516" width="4.5" style="4" bestFit="1" customWidth="1"/>
    <col min="10517" max="10517" width="4.375" style="4" customWidth="1"/>
    <col min="10518" max="10518" width="5.5" style="4" customWidth="1"/>
    <col min="10519" max="10752" width="9" style="4"/>
    <col min="10753" max="10753" width="2.5" style="4" customWidth="1"/>
    <col min="10754" max="10754" width="2.375" style="4" bestFit="1" customWidth="1"/>
    <col min="10755" max="10755" width="1.125" style="4" customWidth="1"/>
    <col min="10756" max="10756" width="5.625" style="4" customWidth="1"/>
    <col min="10757" max="10757" width="4.625" style="4" bestFit="1" customWidth="1"/>
    <col min="10758" max="10758" width="4.375" style="4" customWidth="1"/>
    <col min="10759" max="10759" width="4.625" style="4" bestFit="1" customWidth="1"/>
    <col min="10760" max="10760" width="5" style="4" bestFit="1" customWidth="1"/>
    <col min="10761" max="10764" width="4.625" style="4" bestFit="1" customWidth="1"/>
    <col min="10765" max="10765" width="4.75" style="4" bestFit="1" customWidth="1"/>
    <col min="10766" max="10771" width="4.625" style="4" bestFit="1" customWidth="1"/>
    <col min="10772" max="10772" width="4.5" style="4" bestFit="1" customWidth="1"/>
    <col min="10773" max="10773" width="4.375" style="4" customWidth="1"/>
    <col min="10774" max="10774" width="5.5" style="4" customWidth="1"/>
    <col min="10775" max="11008" width="9" style="4"/>
    <col min="11009" max="11009" width="2.5" style="4" customWidth="1"/>
    <col min="11010" max="11010" width="2.375" style="4" bestFit="1" customWidth="1"/>
    <col min="11011" max="11011" width="1.125" style="4" customWidth="1"/>
    <col min="11012" max="11012" width="5.625" style="4" customWidth="1"/>
    <col min="11013" max="11013" width="4.625" style="4" bestFit="1" customWidth="1"/>
    <col min="11014" max="11014" width="4.375" style="4" customWidth="1"/>
    <col min="11015" max="11015" width="4.625" style="4" bestFit="1" customWidth="1"/>
    <col min="11016" max="11016" width="5" style="4" bestFit="1" customWidth="1"/>
    <col min="11017" max="11020" width="4.625" style="4" bestFit="1" customWidth="1"/>
    <col min="11021" max="11021" width="4.75" style="4" bestFit="1" customWidth="1"/>
    <col min="11022" max="11027" width="4.625" style="4" bestFit="1" customWidth="1"/>
    <col min="11028" max="11028" width="4.5" style="4" bestFit="1" customWidth="1"/>
    <col min="11029" max="11029" width="4.375" style="4" customWidth="1"/>
    <col min="11030" max="11030" width="5.5" style="4" customWidth="1"/>
    <col min="11031" max="11264" width="9" style="4"/>
    <col min="11265" max="11265" width="2.5" style="4" customWidth="1"/>
    <col min="11266" max="11266" width="2.375" style="4" bestFit="1" customWidth="1"/>
    <col min="11267" max="11267" width="1.125" style="4" customWidth="1"/>
    <col min="11268" max="11268" width="5.625" style="4" customWidth="1"/>
    <col min="11269" max="11269" width="4.625" style="4" bestFit="1" customWidth="1"/>
    <col min="11270" max="11270" width="4.375" style="4" customWidth="1"/>
    <col min="11271" max="11271" width="4.625" style="4" bestFit="1" customWidth="1"/>
    <col min="11272" max="11272" width="5" style="4" bestFit="1" customWidth="1"/>
    <col min="11273" max="11276" width="4.625" style="4" bestFit="1" customWidth="1"/>
    <col min="11277" max="11277" width="4.75" style="4" bestFit="1" customWidth="1"/>
    <col min="11278" max="11283" width="4.625" style="4" bestFit="1" customWidth="1"/>
    <col min="11284" max="11284" width="4.5" style="4" bestFit="1" customWidth="1"/>
    <col min="11285" max="11285" width="4.375" style="4" customWidth="1"/>
    <col min="11286" max="11286" width="5.5" style="4" customWidth="1"/>
    <col min="11287" max="11520" width="9" style="4"/>
    <col min="11521" max="11521" width="2.5" style="4" customWidth="1"/>
    <col min="11522" max="11522" width="2.375" style="4" bestFit="1" customWidth="1"/>
    <col min="11523" max="11523" width="1.125" style="4" customWidth="1"/>
    <col min="11524" max="11524" width="5.625" style="4" customWidth="1"/>
    <col min="11525" max="11525" width="4.625" style="4" bestFit="1" customWidth="1"/>
    <col min="11526" max="11526" width="4.375" style="4" customWidth="1"/>
    <col min="11527" max="11527" width="4.625" style="4" bestFit="1" customWidth="1"/>
    <col min="11528" max="11528" width="5" style="4" bestFit="1" customWidth="1"/>
    <col min="11529" max="11532" width="4.625" style="4" bestFit="1" customWidth="1"/>
    <col min="11533" max="11533" width="4.75" style="4" bestFit="1" customWidth="1"/>
    <col min="11534" max="11539" width="4.625" style="4" bestFit="1" customWidth="1"/>
    <col min="11540" max="11540" width="4.5" style="4" bestFit="1" customWidth="1"/>
    <col min="11541" max="11541" width="4.375" style="4" customWidth="1"/>
    <col min="11542" max="11542" width="5.5" style="4" customWidth="1"/>
    <col min="11543" max="11776" width="9" style="4"/>
    <col min="11777" max="11777" width="2.5" style="4" customWidth="1"/>
    <col min="11778" max="11778" width="2.375" style="4" bestFit="1" customWidth="1"/>
    <col min="11779" max="11779" width="1.125" style="4" customWidth="1"/>
    <col min="11780" max="11780" width="5.625" style="4" customWidth="1"/>
    <col min="11781" max="11781" width="4.625" style="4" bestFit="1" customWidth="1"/>
    <col min="11782" max="11782" width="4.375" style="4" customWidth="1"/>
    <col min="11783" max="11783" width="4.625" style="4" bestFit="1" customWidth="1"/>
    <col min="11784" max="11784" width="5" style="4" bestFit="1" customWidth="1"/>
    <col min="11785" max="11788" width="4.625" style="4" bestFit="1" customWidth="1"/>
    <col min="11789" max="11789" width="4.75" style="4" bestFit="1" customWidth="1"/>
    <col min="11790" max="11795" width="4.625" style="4" bestFit="1" customWidth="1"/>
    <col min="11796" max="11796" width="4.5" style="4" bestFit="1" customWidth="1"/>
    <col min="11797" max="11797" width="4.375" style="4" customWidth="1"/>
    <col min="11798" max="11798" width="5.5" style="4" customWidth="1"/>
    <col min="11799" max="12032" width="9" style="4"/>
    <col min="12033" max="12033" width="2.5" style="4" customWidth="1"/>
    <col min="12034" max="12034" width="2.375" style="4" bestFit="1" customWidth="1"/>
    <col min="12035" max="12035" width="1.125" style="4" customWidth="1"/>
    <col min="12036" max="12036" width="5.625" style="4" customWidth="1"/>
    <col min="12037" max="12037" width="4.625" style="4" bestFit="1" customWidth="1"/>
    <col min="12038" max="12038" width="4.375" style="4" customWidth="1"/>
    <col min="12039" max="12039" width="4.625" style="4" bestFit="1" customWidth="1"/>
    <col min="12040" max="12040" width="5" style="4" bestFit="1" customWidth="1"/>
    <col min="12041" max="12044" width="4.625" style="4" bestFit="1" customWidth="1"/>
    <col min="12045" max="12045" width="4.75" style="4" bestFit="1" customWidth="1"/>
    <col min="12046" max="12051" width="4.625" style="4" bestFit="1" customWidth="1"/>
    <col min="12052" max="12052" width="4.5" style="4" bestFit="1" customWidth="1"/>
    <col min="12053" max="12053" width="4.375" style="4" customWidth="1"/>
    <col min="12054" max="12054" width="5.5" style="4" customWidth="1"/>
    <col min="12055" max="12288" width="9" style="4"/>
    <col min="12289" max="12289" width="2.5" style="4" customWidth="1"/>
    <col min="12290" max="12290" width="2.375" style="4" bestFit="1" customWidth="1"/>
    <col min="12291" max="12291" width="1.125" style="4" customWidth="1"/>
    <col min="12292" max="12292" width="5.625" style="4" customWidth="1"/>
    <col min="12293" max="12293" width="4.625" style="4" bestFit="1" customWidth="1"/>
    <col min="12294" max="12294" width="4.375" style="4" customWidth="1"/>
    <col min="12295" max="12295" width="4.625" style="4" bestFit="1" customWidth="1"/>
    <col min="12296" max="12296" width="5" style="4" bestFit="1" customWidth="1"/>
    <col min="12297" max="12300" width="4.625" style="4" bestFit="1" customWidth="1"/>
    <col min="12301" max="12301" width="4.75" style="4" bestFit="1" customWidth="1"/>
    <col min="12302" max="12307" width="4.625" style="4" bestFit="1" customWidth="1"/>
    <col min="12308" max="12308" width="4.5" style="4" bestFit="1" customWidth="1"/>
    <col min="12309" max="12309" width="4.375" style="4" customWidth="1"/>
    <col min="12310" max="12310" width="5.5" style="4" customWidth="1"/>
    <col min="12311" max="12544" width="9" style="4"/>
    <col min="12545" max="12545" width="2.5" style="4" customWidth="1"/>
    <col min="12546" max="12546" width="2.375" style="4" bestFit="1" customWidth="1"/>
    <col min="12547" max="12547" width="1.125" style="4" customWidth="1"/>
    <col min="12548" max="12548" width="5.625" style="4" customWidth="1"/>
    <col min="12549" max="12549" width="4.625" style="4" bestFit="1" customWidth="1"/>
    <col min="12550" max="12550" width="4.375" style="4" customWidth="1"/>
    <col min="12551" max="12551" width="4.625" style="4" bestFit="1" customWidth="1"/>
    <col min="12552" max="12552" width="5" style="4" bestFit="1" customWidth="1"/>
    <col min="12553" max="12556" width="4.625" style="4" bestFit="1" customWidth="1"/>
    <col min="12557" max="12557" width="4.75" style="4" bestFit="1" customWidth="1"/>
    <col min="12558" max="12563" width="4.625" style="4" bestFit="1" customWidth="1"/>
    <col min="12564" max="12564" width="4.5" style="4" bestFit="1" customWidth="1"/>
    <col min="12565" max="12565" width="4.375" style="4" customWidth="1"/>
    <col min="12566" max="12566" width="5.5" style="4" customWidth="1"/>
    <col min="12567" max="12800" width="9" style="4"/>
    <col min="12801" max="12801" width="2.5" style="4" customWidth="1"/>
    <col min="12802" max="12802" width="2.375" style="4" bestFit="1" customWidth="1"/>
    <col min="12803" max="12803" width="1.125" style="4" customWidth="1"/>
    <col min="12804" max="12804" width="5.625" style="4" customWidth="1"/>
    <col min="12805" max="12805" width="4.625" style="4" bestFit="1" customWidth="1"/>
    <col min="12806" max="12806" width="4.375" style="4" customWidth="1"/>
    <col min="12807" max="12807" width="4.625" style="4" bestFit="1" customWidth="1"/>
    <col min="12808" max="12808" width="5" style="4" bestFit="1" customWidth="1"/>
    <col min="12809" max="12812" width="4.625" style="4" bestFit="1" customWidth="1"/>
    <col min="12813" max="12813" width="4.75" style="4" bestFit="1" customWidth="1"/>
    <col min="12814" max="12819" width="4.625" style="4" bestFit="1" customWidth="1"/>
    <col min="12820" max="12820" width="4.5" style="4" bestFit="1" customWidth="1"/>
    <col min="12821" max="12821" width="4.375" style="4" customWidth="1"/>
    <col min="12822" max="12822" width="5.5" style="4" customWidth="1"/>
    <col min="12823" max="13056" width="9" style="4"/>
    <col min="13057" max="13057" width="2.5" style="4" customWidth="1"/>
    <col min="13058" max="13058" width="2.375" style="4" bestFit="1" customWidth="1"/>
    <col min="13059" max="13059" width="1.125" style="4" customWidth="1"/>
    <col min="13060" max="13060" width="5.625" style="4" customWidth="1"/>
    <col min="13061" max="13061" width="4.625" style="4" bestFit="1" customWidth="1"/>
    <col min="13062" max="13062" width="4.375" style="4" customWidth="1"/>
    <col min="13063" max="13063" width="4.625" style="4" bestFit="1" customWidth="1"/>
    <col min="13064" max="13064" width="5" style="4" bestFit="1" customWidth="1"/>
    <col min="13065" max="13068" width="4.625" style="4" bestFit="1" customWidth="1"/>
    <col min="13069" max="13069" width="4.75" style="4" bestFit="1" customWidth="1"/>
    <col min="13070" max="13075" width="4.625" style="4" bestFit="1" customWidth="1"/>
    <col min="13076" max="13076" width="4.5" style="4" bestFit="1" customWidth="1"/>
    <col min="13077" max="13077" width="4.375" style="4" customWidth="1"/>
    <col min="13078" max="13078" width="5.5" style="4" customWidth="1"/>
    <col min="13079" max="13312" width="9" style="4"/>
    <col min="13313" max="13313" width="2.5" style="4" customWidth="1"/>
    <col min="13314" max="13314" width="2.375" style="4" bestFit="1" customWidth="1"/>
    <col min="13315" max="13315" width="1.125" style="4" customWidth="1"/>
    <col min="13316" max="13316" width="5.625" style="4" customWidth="1"/>
    <col min="13317" max="13317" width="4.625" style="4" bestFit="1" customWidth="1"/>
    <col min="13318" max="13318" width="4.375" style="4" customWidth="1"/>
    <col min="13319" max="13319" width="4.625" style="4" bestFit="1" customWidth="1"/>
    <col min="13320" max="13320" width="5" style="4" bestFit="1" customWidth="1"/>
    <col min="13321" max="13324" width="4.625" style="4" bestFit="1" customWidth="1"/>
    <col min="13325" max="13325" width="4.75" style="4" bestFit="1" customWidth="1"/>
    <col min="13326" max="13331" width="4.625" style="4" bestFit="1" customWidth="1"/>
    <col min="13332" max="13332" width="4.5" style="4" bestFit="1" customWidth="1"/>
    <col min="13333" max="13333" width="4.375" style="4" customWidth="1"/>
    <col min="13334" max="13334" width="5.5" style="4" customWidth="1"/>
    <col min="13335" max="13568" width="9" style="4"/>
    <col min="13569" max="13569" width="2.5" style="4" customWidth="1"/>
    <col min="13570" max="13570" width="2.375" style="4" bestFit="1" customWidth="1"/>
    <col min="13571" max="13571" width="1.125" style="4" customWidth="1"/>
    <col min="13572" max="13572" width="5.625" style="4" customWidth="1"/>
    <col min="13573" max="13573" width="4.625" style="4" bestFit="1" customWidth="1"/>
    <col min="13574" max="13574" width="4.375" style="4" customWidth="1"/>
    <col min="13575" max="13575" width="4.625" style="4" bestFit="1" customWidth="1"/>
    <col min="13576" max="13576" width="5" style="4" bestFit="1" customWidth="1"/>
    <col min="13577" max="13580" width="4.625" style="4" bestFit="1" customWidth="1"/>
    <col min="13581" max="13581" width="4.75" style="4" bestFit="1" customWidth="1"/>
    <col min="13582" max="13587" width="4.625" style="4" bestFit="1" customWidth="1"/>
    <col min="13588" max="13588" width="4.5" style="4" bestFit="1" customWidth="1"/>
    <col min="13589" max="13589" width="4.375" style="4" customWidth="1"/>
    <col min="13590" max="13590" width="5.5" style="4" customWidth="1"/>
    <col min="13591" max="13824" width="9" style="4"/>
    <col min="13825" max="13825" width="2.5" style="4" customWidth="1"/>
    <col min="13826" max="13826" width="2.375" style="4" bestFit="1" customWidth="1"/>
    <col min="13827" max="13827" width="1.125" style="4" customWidth="1"/>
    <col min="13828" max="13828" width="5.625" style="4" customWidth="1"/>
    <col min="13829" max="13829" width="4.625" style="4" bestFit="1" customWidth="1"/>
    <col min="13830" max="13830" width="4.375" style="4" customWidth="1"/>
    <col min="13831" max="13831" width="4.625" style="4" bestFit="1" customWidth="1"/>
    <col min="13832" max="13832" width="5" style="4" bestFit="1" customWidth="1"/>
    <col min="13833" max="13836" width="4.625" style="4" bestFit="1" customWidth="1"/>
    <col min="13837" max="13837" width="4.75" style="4" bestFit="1" customWidth="1"/>
    <col min="13838" max="13843" width="4.625" style="4" bestFit="1" customWidth="1"/>
    <col min="13844" max="13844" width="4.5" style="4" bestFit="1" customWidth="1"/>
    <col min="13845" max="13845" width="4.375" style="4" customWidth="1"/>
    <col min="13846" max="13846" width="5.5" style="4" customWidth="1"/>
    <col min="13847" max="14080" width="9" style="4"/>
    <col min="14081" max="14081" width="2.5" style="4" customWidth="1"/>
    <col min="14082" max="14082" width="2.375" style="4" bestFit="1" customWidth="1"/>
    <col min="14083" max="14083" width="1.125" style="4" customWidth="1"/>
    <col min="14084" max="14084" width="5.625" style="4" customWidth="1"/>
    <col min="14085" max="14085" width="4.625" style="4" bestFit="1" customWidth="1"/>
    <col min="14086" max="14086" width="4.375" style="4" customWidth="1"/>
    <col min="14087" max="14087" width="4.625" style="4" bestFit="1" customWidth="1"/>
    <col min="14088" max="14088" width="5" style="4" bestFit="1" customWidth="1"/>
    <col min="14089" max="14092" width="4.625" style="4" bestFit="1" customWidth="1"/>
    <col min="14093" max="14093" width="4.75" style="4" bestFit="1" customWidth="1"/>
    <col min="14094" max="14099" width="4.625" style="4" bestFit="1" customWidth="1"/>
    <col min="14100" max="14100" width="4.5" style="4" bestFit="1" customWidth="1"/>
    <col min="14101" max="14101" width="4.375" style="4" customWidth="1"/>
    <col min="14102" max="14102" width="5.5" style="4" customWidth="1"/>
    <col min="14103" max="14336" width="9" style="4"/>
    <col min="14337" max="14337" width="2.5" style="4" customWidth="1"/>
    <col min="14338" max="14338" width="2.375" style="4" bestFit="1" customWidth="1"/>
    <col min="14339" max="14339" width="1.125" style="4" customWidth="1"/>
    <col min="14340" max="14340" width="5.625" style="4" customWidth="1"/>
    <col min="14341" max="14341" width="4.625" style="4" bestFit="1" customWidth="1"/>
    <col min="14342" max="14342" width="4.375" style="4" customWidth="1"/>
    <col min="14343" max="14343" width="4.625" style="4" bestFit="1" customWidth="1"/>
    <col min="14344" max="14344" width="5" style="4" bestFit="1" customWidth="1"/>
    <col min="14345" max="14348" width="4.625" style="4" bestFit="1" customWidth="1"/>
    <col min="14349" max="14349" width="4.75" style="4" bestFit="1" customWidth="1"/>
    <col min="14350" max="14355" width="4.625" style="4" bestFit="1" customWidth="1"/>
    <col min="14356" max="14356" width="4.5" style="4" bestFit="1" customWidth="1"/>
    <col min="14357" max="14357" width="4.375" style="4" customWidth="1"/>
    <col min="14358" max="14358" width="5.5" style="4" customWidth="1"/>
    <col min="14359" max="14592" width="9" style="4"/>
    <col min="14593" max="14593" width="2.5" style="4" customWidth="1"/>
    <col min="14594" max="14594" width="2.375" style="4" bestFit="1" customWidth="1"/>
    <col min="14595" max="14595" width="1.125" style="4" customWidth="1"/>
    <col min="14596" max="14596" width="5.625" style="4" customWidth="1"/>
    <col min="14597" max="14597" width="4.625" style="4" bestFit="1" customWidth="1"/>
    <col min="14598" max="14598" width="4.375" style="4" customWidth="1"/>
    <col min="14599" max="14599" width="4.625" style="4" bestFit="1" customWidth="1"/>
    <col min="14600" max="14600" width="5" style="4" bestFit="1" customWidth="1"/>
    <col min="14601" max="14604" width="4.625" style="4" bestFit="1" customWidth="1"/>
    <col min="14605" max="14605" width="4.75" style="4" bestFit="1" customWidth="1"/>
    <col min="14606" max="14611" width="4.625" style="4" bestFit="1" customWidth="1"/>
    <col min="14612" max="14612" width="4.5" style="4" bestFit="1" customWidth="1"/>
    <col min="14613" max="14613" width="4.375" style="4" customWidth="1"/>
    <col min="14614" max="14614" width="5.5" style="4" customWidth="1"/>
    <col min="14615" max="14848" width="9" style="4"/>
    <col min="14849" max="14849" width="2.5" style="4" customWidth="1"/>
    <col min="14850" max="14850" width="2.375" style="4" bestFit="1" customWidth="1"/>
    <col min="14851" max="14851" width="1.125" style="4" customWidth="1"/>
    <col min="14852" max="14852" width="5.625" style="4" customWidth="1"/>
    <col min="14853" max="14853" width="4.625" style="4" bestFit="1" customWidth="1"/>
    <col min="14854" max="14854" width="4.375" style="4" customWidth="1"/>
    <col min="14855" max="14855" width="4.625" style="4" bestFit="1" customWidth="1"/>
    <col min="14856" max="14856" width="5" style="4" bestFit="1" customWidth="1"/>
    <col min="14857" max="14860" width="4.625" style="4" bestFit="1" customWidth="1"/>
    <col min="14861" max="14861" width="4.75" style="4" bestFit="1" customWidth="1"/>
    <col min="14862" max="14867" width="4.625" style="4" bestFit="1" customWidth="1"/>
    <col min="14868" max="14868" width="4.5" style="4" bestFit="1" customWidth="1"/>
    <col min="14869" max="14869" width="4.375" style="4" customWidth="1"/>
    <col min="14870" max="14870" width="5.5" style="4" customWidth="1"/>
    <col min="14871" max="15104" width="9" style="4"/>
    <col min="15105" max="15105" width="2.5" style="4" customWidth="1"/>
    <col min="15106" max="15106" width="2.375" style="4" bestFit="1" customWidth="1"/>
    <col min="15107" max="15107" width="1.125" style="4" customWidth="1"/>
    <col min="15108" max="15108" width="5.625" style="4" customWidth="1"/>
    <col min="15109" max="15109" width="4.625" style="4" bestFit="1" customWidth="1"/>
    <col min="15110" max="15110" width="4.375" style="4" customWidth="1"/>
    <col min="15111" max="15111" width="4.625" style="4" bestFit="1" customWidth="1"/>
    <col min="15112" max="15112" width="5" style="4" bestFit="1" customWidth="1"/>
    <col min="15113" max="15116" width="4.625" style="4" bestFit="1" customWidth="1"/>
    <col min="15117" max="15117" width="4.75" style="4" bestFit="1" customWidth="1"/>
    <col min="15118" max="15123" width="4.625" style="4" bestFit="1" customWidth="1"/>
    <col min="15124" max="15124" width="4.5" style="4" bestFit="1" customWidth="1"/>
    <col min="15125" max="15125" width="4.375" style="4" customWidth="1"/>
    <col min="15126" max="15126" width="5.5" style="4" customWidth="1"/>
    <col min="15127" max="15360" width="9" style="4"/>
    <col min="15361" max="15361" width="2.5" style="4" customWidth="1"/>
    <col min="15362" max="15362" width="2.375" style="4" bestFit="1" customWidth="1"/>
    <col min="15363" max="15363" width="1.125" style="4" customWidth="1"/>
    <col min="15364" max="15364" width="5.625" style="4" customWidth="1"/>
    <col min="15365" max="15365" width="4.625" style="4" bestFit="1" customWidth="1"/>
    <col min="15366" max="15366" width="4.375" style="4" customWidth="1"/>
    <col min="15367" max="15367" width="4.625" style="4" bestFit="1" customWidth="1"/>
    <col min="15368" max="15368" width="5" style="4" bestFit="1" customWidth="1"/>
    <col min="15369" max="15372" width="4.625" style="4" bestFit="1" customWidth="1"/>
    <col min="15373" max="15373" width="4.75" style="4" bestFit="1" customWidth="1"/>
    <col min="15374" max="15379" width="4.625" style="4" bestFit="1" customWidth="1"/>
    <col min="15380" max="15380" width="4.5" style="4" bestFit="1" customWidth="1"/>
    <col min="15381" max="15381" width="4.375" style="4" customWidth="1"/>
    <col min="15382" max="15382" width="5.5" style="4" customWidth="1"/>
    <col min="15383" max="15616" width="9" style="4"/>
    <col min="15617" max="15617" width="2.5" style="4" customWidth="1"/>
    <col min="15618" max="15618" width="2.375" style="4" bestFit="1" customWidth="1"/>
    <col min="15619" max="15619" width="1.125" style="4" customWidth="1"/>
    <col min="15620" max="15620" width="5.625" style="4" customWidth="1"/>
    <col min="15621" max="15621" width="4.625" style="4" bestFit="1" customWidth="1"/>
    <col min="15622" max="15622" width="4.375" style="4" customWidth="1"/>
    <col min="15623" max="15623" width="4.625" style="4" bestFit="1" customWidth="1"/>
    <col min="15624" max="15624" width="5" style="4" bestFit="1" customWidth="1"/>
    <col min="15625" max="15628" width="4.625" style="4" bestFit="1" customWidth="1"/>
    <col min="15629" max="15629" width="4.75" style="4" bestFit="1" customWidth="1"/>
    <col min="15630" max="15635" width="4.625" style="4" bestFit="1" customWidth="1"/>
    <col min="15636" max="15636" width="4.5" style="4" bestFit="1" customWidth="1"/>
    <col min="15637" max="15637" width="4.375" style="4" customWidth="1"/>
    <col min="15638" max="15638" width="5.5" style="4" customWidth="1"/>
    <col min="15639" max="15872" width="9" style="4"/>
    <col min="15873" max="15873" width="2.5" style="4" customWidth="1"/>
    <col min="15874" max="15874" width="2.375" style="4" bestFit="1" customWidth="1"/>
    <col min="15875" max="15875" width="1.125" style="4" customWidth="1"/>
    <col min="15876" max="15876" width="5.625" style="4" customWidth="1"/>
    <col min="15877" max="15877" width="4.625" style="4" bestFit="1" customWidth="1"/>
    <col min="15878" max="15878" width="4.375" style="4" customWidth="1"/>
    <col min="15879" max="15879" width="4.625" style="4" bestFit="1" customWidth="1"/>
    <col min="15880" max="15880" width="5" style="4" bestFit="1" customWidth="1"/>
    <col min="15881" max="15884" width="4.625" style="4" bestFit="1" customWidth="1"/>
    <col min="15885" max="15885" width="4.75" style="4" bestFit="1" customWidth="1"/>
    <col min="15886" max="15891" width="4.625" style="4" bestFit="1" customWidth="1"/>
    <col min="15892" max="15892" width="4.5" style="4" bestFit="1" customWidth="1"/>
    <col min="15893" max="15893" width="4.375" style="4" customWidth="1"/>
    <col min="15894" max="15894" width="5.5" style="4" customWidth="1"/>
    <col min="15895" max="16128" width="9" style="4"/>
    <col min="16129" max="16129" width="2.5" style="4" customWidth="1"/>
    <col min="16130" max="16130" width="2.375" style="4" bestFit="1" customWidth="1"/>
    <col min="16131" max="16131" width="1.125" style="4" customWidth="1"/>
    <col min="16132" max="16132" width="5.625" style="4" customWidth="1"/>
    <col min="16133" max="16133" width="4.625" style="4" bestFit="1" customWidth="1"/>
    <col min="16134" max="16134" width="4.375" style="4" customWidth="1"/>
    <col min="16135" max="16135" width="4.625" style="4" bestFit="1" customWidth="1"/>
    <col min="16136" max="16136" width="5" style="4" bestFit="1" customWidth="1"/>
    <col min="16137" max="16140" width="4.625" style="4" bestFit="1" customWidth="1"/>
    <col min="16141" max="16141" width="4.75" style="4" bestFit="1" customWidth="1"/>
    <col min="16142" max="16147" width="4.625" style="4" bestFit="1" customWidth="1"/>
    <col min="16148" max="16148" width="4.5" style="4" bestFit="1" customWidth="1"/>
    <col min="16149" max="16149" width="4.375" style="4" customWidth="1"/>
    <col min="16150" max="16150" width="5.5" style="4" customWidth="1"/>
    <col min="16151" max="16384" width="9" style="4"/>
  </cols>
  <sheetData>
    <row r="1" spans="1:23" ht="16.5" customHeight="1" x14ac:dyDescent="0.3">
      <c r="A1" s="2" t="s">
        <v>44</v>
      </c>
      <c r="B1" s="1"/>
      <c r="C1" s="1"/>
      <c r="D1" s="1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V1" s="14"/>
    </row>
    <row r="2" spans="1:23" ht="11.25" customHeight="1" x14ac:dyDescent="0.15">
      <c r="A2" s="1"/>
      <c r="B2" s="1"/>
      <c r="C2" s="1"/>
      <c r="D2" s="1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 t="s">
        <v>4</v>
      </c>
    </row>
    <row r="3" spans="1:23" ht="11.25" customHeight="1" x14ac:dyDescent="0.15">
      <c r="A3" s="56"/>
      <c r="B3" s="56"/>
      <c r="C3" s="56"/>
      <c r="D3" s="41"/>
      <c r="E3" s="51" t="s">
        <v>45</v>
      </c>
      <c r="F3" s="51"/>
      <c r="G3" s="15"/>
      <c r="H3" s="15" t="s">
        <v>5</v>
      </c>
      <c r="I3" s="15" t="s">
        <v>6</v>
      </c>
      <c r="J3" s="15"/>
      <c r="K3" s="15"/>
      <c r="L3" s="15"/>
      <c r="M3" s="51" t="s">
        <v>43</v>
      </c>
      <c r="N3" s="51"/>
      <c r="O3" s="15" t="s">
        <v>7</v>
      </c>
      <c r="P3" s="15" t="s">
        <v>8</v>
      </c>
      <c r="Q3" s="15" t="s">
        <v>9</v>
      </c>
      <c r="R3" s="15"/>
      <c r="S3" s="15" t="s">
        <v>10</v>
      </c>
      <c r="T3" s="15" t="s">
        <v>11</v>
      </c>
      <c r="U3" s="15" t="s">
        <v>12</v>
      </c>
      <c r="V3" s="16" t="s">
        <v>13</v>
      </c>
    </row>
    <row r="4" spans="1:23" ht="11.25" customHeight="1" x14ac:dyDescent="0.15">
      <c r="A4" s="57"/>
      <c r="B4" s="57"/>
      <c r="C4" s="57"/>
      <c r="D4" s="43"/>
      <c r="E4" s="52" t="s">
        <v>14</v>
      </c>
      <c r="F4" s="54" t="s">
        <v>15</v>
      </c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21</v>
      </c>
      <c r="M4" s="54" t="s">
        <v>22</v>
      </c>
      <c r="N4" s="54" t="s">
        <v>23</v>
      </c>
      <c r="O4" s="17"/>
      <c r="P4" s="17" t="s">
        <v>24</v>
      </c>
      <c r="Q4" s="17" t="s">
        <v>24</v>
      </c>
      <c r="R4" s="17" t="s">
        <v>25</v>
      </c>
      <c r="S4" s="17"/>
      <c r="T4" s="17" t="s">
        <v>26</v>
      </c>
      <c r="U4" s="17" t="s">
        <v>27</v>
      </c>
      <c r="V4" s="18" t="s">
        <v>28</v>
      </c>
    </row>
    <row r="5" spans="1:23" ht="11.25" customHeight="1" x14ac:dyDescent="0.15">
      <c r="A5" s="58"/>
      <c r="B5" s="58"/>
      <c r="C5" s="58"/>
      <c r="D5" s="59"/>
      <c r="E5" s="53"/>
      <c r="F5" s="55"/>
      <c r="G5" s="19"/>
      <c r="H5" s="19" t="s">
        <v>29</v>
      </c>
      <c r="I5" s="19" t="s">
        <v>30</v>
      </c>
      <c r="J5" s="19"/>
      <c r="K5" s="19"/>
      <c r="L5" s="19"/>
      <c r="M5" s="55"/>
      <c r="N5" s="55"/>
      <c r="O5" s="19" t="s">
        <v>31</v>
      </c>
      <c r="P5" s="19" t="s">
        <v>46</v>
      </c>
      <c r="Q5" s="19" t="s">
        <v>32</v>
      </c>
      <c r="R5" s="19"/>
      <c r="S5" s="19" t="s">
        <v>33</v>
      </c>
      <c r="T5" s="19" t="s">
        <v>32</v>
      </c>
      <c r="U5" s="19" t="s">
        <v>30</v>
      </c>
      <c r="V5" s="20" t="s">
        <v>34</v>
      </c>
    </row>
    <row r="6" spans="1:23" ht="11.25" customHeight="1" x14ac:dyDescent="0.15">
      <c r="A6" s="39" t="s">
        <v>0</v>
      </c>
      <c r="B6" s="32" t="s">
        <v>35</v>
      </c>
      <c r="C6" s="44" t="s">
        <v>47</v>
      </c>
      <c r="D6" s="45"/>
      <c r="E6" s="21">
        <v>37</v>
      </c>
      <c r="F6" s="21">
        <v>235</v>
      </c>
      <c r="G6" s="21">
        <v>1126</v>
      </c>
      <c r="H6" s="21">
        <v>440</v>
      </c>
      <c r="I6" s="21">
        <v>99</v>
      </c>
      <c r="J6" s="21">
        <v>3</v>
      </c>
      <c r="K6" s="21">
        <v>133</v>
      </c>
      <c r="L6" s="21">
        <v>1559</v>
      </c>
      <c r="M6" s="21">
        <v>867</v>
      </c>
      <c r="N6" s="21">
        <v>322</v>
      </c>
      <c r="O6" s="21">
        <v>335</v>
      </c>
      <c r="P6" s="21">
        <v>14</v>
      </c>
      <c r="Q6" s="21">
        <v>1</v>
      </c>
      <c r="R6" s="21">
        <v>83</v>
      </c>
      <c r="S6" s="21">
        <v>0</v>
      </c>
      <c r="T6" s="21">
        <v>0</v>
      </c>
      <c r="U6" s="21">
        <v>68</v>
      </c>
      <c r="V6" s="23">
        <v>31</v>
      </c>
      <c r="W6" s="5"/>
    </row>
    <row r="7" spans="1:23" ht="11.25" customHeight="1" x14ac:dyDescent="0.15">
      <c r="A7" s="37"/>
      <c r="B7" s="22" t="s">
        <v>36</v>
      </c>
      <c r="C7" s="46" t="s">
        <v>48</v>
      </c>
      <c r="D7" s="47"/>
      <c r="E7" s="21">
        <v>10187</v>
      </c>
      <c r="F7" s="21">
        <v>106123</v>
      </c>
      <c r="G7" s="21">
        <v>87006</v>
      </c>
      <c r="H7" s="21">
        <v>81036</v>
      </c>
      <c r="I7" s="21">
        <v>530</v>
      </c>
      <c r="J7" s="21">
        <v>188</v>
      </c>
      <c r="K7" s="21">
        <v>3859</v>
      </c>
      <c r="L7" s="21">
        <v>85064</v>
      </c>
      <c r="M7" s="21">
        <v>58326</v>
      </c>
      <c r="N7" s="21">
        <v>45155</v>
      </c>
      <c r="O7" s="21">
        <v>46036</v>
      </c>
      <c r="P7" s="13">
        <v>1948</v>
      </c>
      <c r="Q7" s="13">
        <v>29</v>
      </c>
      <c r="R7" s="13">
        <v>12029</v>
      </c>
      <c r="S7" s="13">
        <v>0</v>
      </c>
      <c r="T7" s="13">
        <v>0</v>
      </c>
      <c r="U7" s="21">
        <v>715</v>
      </c>
      <c r="V7" s="3">
        <v>6338</v>
      </c>
      <c r="W7" s="5"/>
    </row>
    <row r="8" spans="1:23" ht="11.25" customHeight="1" x14ac:dyDescent="0.15">
      <c r="A8" s="43">
        <v>28</v>
      </c>
      <c r="B8" s="48" t="s">
        <v>37</v>
      </c>
      <c r="C8" s="40" t="s">
        <v>38</v>
      </c>
      <c r="D8" s="41"/>
      <c r="E8" s="12">
        <v>21</v>
      </c>
      <c r="F8" s="12">
        <v>94</v>
      </c>
      <c r="G8" s="12">
        <v>846</v>
      </c>
      <c r="H8" s="12">
        <v>174</v>
      </c>
      <c r="I8" s="12">
        <v>98</v>
      </c>
      <c r="J8" s="12">
        <v>3</v>
      </c>
      <c r="K8" s="12">
        <v>126</v>
      </c>
      <c r="L8" s="12">
        <v>936</v>
      </c>
      <c r="M8" s="12">
        <v>191</v>
      </c>
      <c r="N8" s="12">
        <v>137</v>
      </c>
      <c r="O8" s="12">
        <v>45</v>
      </c>
      <c r="P8" s="21">
        <v>13</v>
      </c>
      <c r="Q8" s="21">
        <v>0</v>
      </c>
      <c r="R8" s="21">
        <v>70</v>
      </c>
      <c r="S8" s="21">
        <v>0</v>
      </c>
      <c r="T8" s="21">
        <v>0</v>
      </c>
      <c r="U8" s="12">
        <v>67</v>
      </c>
      <c r="V8" s="23">
        <v>14</v>
      </c>
      <c r="W8" s="5"/>
    </row>
    <row r="9" spans="1:23" ht="11.25" customHeight="1" x14ac:dyDescent="0.15">
      <c r="A9" s="43"/>
      <c r="B9" s="49"/>
      <c r="C9" s="42" t="s">
        <v>39</v>
      </c>
      <c r="D9" s="43"/>
      <c r="E9" s="21">
        <v>8683</v>
      </c>
      <c r="F9" s="21">
        <v>68773</v>
      </c>
      <c r="G9" s="21">
        <v>81976</v>
      </c>
      <c r="H9" s="21">
        <v>67087</v>
      </c>
      <c r="I9" s="21">
        <v>528</v>
      </c>
      <c r="J9" s="21">
        <v>188</v>
      </c>
      <c r="K9" s="21">
        <v>3680</v>
      </c>
      <c r="L9" s="21">
        <v>72448</v>
      </c>
      <c r="M9" s="21">
        <v>39730</v>
      </c>
      <c r="N9" s="21">
        <v>39039</v>
      </c>
      <c r="O9" s="21">
        <v>33790</v>
      </c>
      <c r="P9" s="21">
        <v>1904</v>
      </c>
      <c r="Q9" s="21">
        <v>0</v>
      </c>
      <c r="R9" s="21">
        <v>10378</v>
      </c>
      <c r="S9" s="21">
        <v>0</v>
      </c>
      <c r="T9" s="21">
        <v>0</v>
      </c>
      <c r="U9" s="21">
        <v>710</v>
      </c>
      <c r="V9" s="3">
        <v>5839</v>
      </c>
      <c r="W9" s="5"/>
    </row>
    <row r="10" spans="1:23" ht="11.25" customHeight="1" x14ac:dyDescent="0.15">
      <c r="A10" s="43"/>
      <c r="B10" s="49"/>
      <c r="C10" s="33"/>
      <c r="D10" s="24" t="s">
        <v>1</v>
      </c>
      <c r="E10" s="21">
        <v>8478</v>
      </c>
      <c r="F10" s="21">
        <v>67212</v>
      </c>
      <c r="G10" s="21">
        <v>77796</v>
      </c>
      <c r="H10" s="21">
        <v>65075</v>
      </c>
      <c r="I10" s="21">
        <v>463</v>
      </c>
      <c r="J10" s="21">
        <v>176</v>
      </c>
      <c r="K10" s="21">
        <v>3128</v>
      </c>
      <c r="L10" s="21">
        <v>68760</v>
      </c>
      <c r="M10" s="21">
        <v>37969</v>
      </c>
      <c r="N10" s="21">
        <v>37575</v>
      </c>
      <c r="O10" s="21">
        <v>33382</v>
      </c>
      <c r="P10" s="21">
        <v>1857</v>
      </c>
      <c r="Q10" s="21">
        <v>0</v>
      </c>
      <c r="R10" s="21">
        <v>9604</v>
      </c>
      <c r="S10" s="21">
        <v>0</v>
      </c>
      <c r="T10" s="21">
        <v>0</v>
      </c>
      <c r="U10" s="21">
        <v>655</v>
      </c>
      <c r="V10" s="3">
        <v>5617</v>
      </c>
      <c r="W10" s="5"/>
    </row>
    <row r="11" spans="1:23" ht="11.25" customHeight="1" x14ac:dyDescent="0.15">
      <c r="A11" s="43"/>
      <c r="B11" s="50"/>
      <c r="C11" s="34"/>
      <c r="D11" s="25" t="s">
        <v>3</v>
      </c>
      <c r="E11" s="13">
        <v>205</v>
      </c>
      <c r="F11" s="13">
        <v>1561</v>
      </c>
      <c r="G11" s="13">
        <v>4180</v>
      </c>
      <c r="H11" s="13">
        <v>2012</v>
      </c>
      <c r="I11" s="13">
        <v>65</v>
      </c>
      <c r="J11" s="13">
        <v>12</v>
      </c>
      <c r="K11" s="13">
        <v>552</v>
      </c>
      <c r="L11" s="13">
        <v>3688</v>
      </c>
      <c r="M11" s="13">
        <v>1761</v>
      </c>
      <c r="N11" s="13">
        <v>1464</v>
      </c>
      <c r="O11" s="13">
        <v>408</v>
      </c>
      <c r="P11" s="13">
        <v>47</v>
      </c>
      <c r="Q11" s="13">
        <v>0</v>
      </c>
      <c r="R11" s="13">
        <v>774</v>
      </c>
      <c r="S11" s="13">
        <v>0</v>
      </c>
      <c r="T11" s="13">
        <v>0</v>
      </c>
      <c r="U11" s="13">
        <v>55</v>
      </c>
      <c r="V11" s="26">
        <v>222</v>
      </c>
      <c r="W11" s="5"/>
    </row>
    <row r="12" spans="1:23" ht="11.25" customHeight="1" x14ac:dyDescent="0.15">
      <c r="A12" s="37" t="s">
        <v>2</v>
      </c>
      <c r="B12" s="48" t="s">
        <v>40</v>
      </c>
      <c r="C12" s="40" t="s">
        <v>38</v>
      </c>
      <c r="D12" s="41"/>
      <c r="E12" s="21">
        <v>16</v>
      </c>
      <c r="F12" s="21">
        <v>141</v>
      </c>
      <c r="G12" s="21">
        <v>280</v>
      </c>
      <c r="H12" s="21">
        <v>266</v>
      </c>
      <c r="I12" s="21">
        <v>1</v>
      </c>
      <c r="J12" s="21">
        <v>0</v>
      </c>
      <c r="K12" s="21">
        <v>7</v>
      </c>
      <c r="L12" s="21">
        <v>623</v>
      </c>
      <c r="M12" s="21">
        <v>676</v>
      </c>
      <c r="N12" s="21">
        <v>185</v>
      </c>
      <c r="O12" s="21">
        <v>290</v>
      </c>
      <c r="P12" s="21">
        <v>1</v>
      </c>
      <c r="Q12" s="21">
        <v>1</v>
      </c>
      <c r="R12" s="21">
        <v>13</v>
      </c>
      <c r="S12" s="21">
        <v>0</v>
      </c>
      <c r="T12" s="21">
        <v>0</v>
      </c>
      <c r="U12" s="21">
        <v>1</v>
      </c>
      <c r="V12" s="3">
        <v>17</v>
      </c>
      <c r="W12" s="5"/>
    </row>
    <row r="13" spans="1:23" ht="11.25" customHeight="1" x14ac:dyDescent="0.15">
      <c r="A13" s="37"/>
      <c r="B13" s="49"/>
      <c r="C13" s="42" t="s">
        <v>39</v>
      </c>
      <c r="D13" s="43"/>
      <c r="E13" s="21">
        <v>1504</v>
      </c>
      <c r="F13" s="21">
        <v>37350</v>
      </c>
      <c r="G13" s="21">
        <v>5030</v>
      </c>
      <c r="H13" s="21">
        <v>13949</v>
      </c>
      <c r="I13" s="21">
        <v>2</v>
      </c>
      <c r="J13" s="21">
        <v>0</v>
      </c>
      <c r="K13" s="21">
        <v>179</v>
      </c>
      <c r="L13" s="21">
        <v>12616</v>
      </c>
      <c r="M13" s="21">
        <v>18596</v>
      </c>
      <c r="N13" s="21">
        <v>6116</v>
      </c>
      <c r="O13" s="21">
        <v>12246</v>
      </c>
      <c r="P13" s="21">
        <v>44</v>
      </c>
      <c r="Q13" s="21">
        <v>29</v>
      </c>
      <c r="R13" s="21">
        <v>1651</v>
      </c>
      <c r="S13" s="21">
        <v>0</v>
      </c>
      <c r="T13" s="21">
        <v>0</v>
      </c>
      <c r="U13" s="21">
        <v>5</v>
      </c>
      <c r="V13" s="3">
        <v>499</v>
      </c>
      <c r="W13" s="5"/>
    </row>
    <row r="14" spans="1:23" ht="11.25" customHeight="1" x14ac:dyDescent="0.15">
      <c r="A14" s="37"/>
      <c r="B14" s="49"/>
      <c r="C14" s="33"/>
      <c r="D14" s="24" t="s">
        <v>1</v>
      </c>
      <c r="E14" s="21">
        <v>1463</v>
      </c>
      <c r="F14" s="21">
        <v>36092</v>
      </c>
      <c r="G14" s="21">
        <v>4871</v>
      </c>
      <c r="H14" s="21">
        <v>13615</v>
      </c>
      <c r="I14" s="21">
        <v>2</v>
      </c>
      <c r="J14" s="21">
        <v>0</v>
      </c>
      <c r="K14" s="21">
        <v>132</v>
      </c>
      <c r="L14" s="21">
        <v>11975</v>
      </c>
      <c r="M14" s="21">
        <v>17926</v>
      </c>
      <c r="N14" s="21">
        <v>5860</v>
      </c>
      <c r="O14" s="21">
        <v>12042</v>
      </c>
      <c r="P14" s="21">
        <v>44</v>
      </c>
      <c r="Q14" s="21">
        <v>26</v>
      </c>
      <c r="R14" s="21">
        <v>1574</v>
      </c>
      <c r="S14" s="21">
        <v>0</v>
      </c>
      <c r="T14" s="21">
        <v>0</v>
      </c>
      <c r="U14" s="21">
        <v>5</v>
      </c>
      <c r="V14" s="3">
        <v>479</v>
      </c>
      <c r="W14" s="5"/>
    </row>
    <row r="15" spans="1:23" ht="11.25" customHeight="1" x14ac:dyDescent="0.15">
      <c r="A15" s="38"/>
      <c r="B15" s="50"/>
      <c r="C15" s="34"/>
      <c r="D15" s="25" t="s">
        <v>3</v>
      </c>
      <c r="E15" s="13">
        <v>41</v>
      </c>
      <c r="F15" s="13">
        <v>1258</v>
      </c>
      <c r="G15" s="13">
        <v>159</v>
      </c>
      <c r="H15" s="13">
        <v>334</v>
      </c>
      <c r="I15" s="13">
        <v>0</v>
      </c>
      <c r="J15" s="13">
        <v>0</v>
      </c>
      <c r="K15" s="13">
        <v>47</v>
      </c>
      <c r="L15" s="13">
        <v>641</v>
      </c>
      <c r="M15" s="13">
        <v>670</v>
      </c>
      <c r="N15" s="13">
        <v>256</v>
      </c>
      <c r="O15" s="13">
        <v>204</v>
      </c>
      <c r="P15" s="13">
        <v>0</v>
      </c>
      <c r="Q15" s="13">
        <v>3</v>
      </c>
      <c r="R15" s="13">
        <v>77</v>
      </c>
      <c r="S15" s="13">
        <v>0</v>
      </c>
      <c r="T15" s="13">
        <v>0</v>
      </c>
      <c r="U15" s="13">
        <v>0</v>
      </c>
      <c r="V15" s="26">
        <v>20</v>
      </c>
      <c r="W15" s="5"/>
    </row>
    <row r="16" spans="1:23" ht="11.25" customHeight="1" x14ac:dyDescent="0.15">
      <c r="A16" s="69" t="s">
        <v>0</v>
      </c>
      <c r="B16" s="27" t="s">
        <v>35</v>
      </c>
      <c r="C16" s="70" t="s">
        <v>47</v>
      </c>
      <c r="D16" s="71"/>
      <c r="E16" s="6">
        <v>30</v>
      </c>
      <c r="F16" s="6">
        <v>206</v>
      </c>
      <c r="G16" s="6">
        <v>1149</v>
      </c>
      <c r="H16" s="6">
        <v>435</v>
      </c>
      <c r="I16" s="6">
        <v>126</v>
      </c>
      <c r="J16" s="6">
        <v>15</v>
      </c>
      <c r="K16" s="6">
        <v>125</v>
      </c>
      <c r="L16" s="6">
        <v>1482</v>
      </c>
      <c r="M16" s="6">
        <v>794</v>
      </c>
      <c r="N16" s="6">
        <v>371</v>
      </c>
      <c r="O16" s="6">
        <v>297</v>
      </c>
      <c r="P16" s="6">
        <v>27</v>
      </c>
      <c r="Q16" s="6">
        <v>4</v>
      </c>
      <c r="R16" s="6">
        <v>63</v>
      </c>
      <c r="S16" s="6">
        <v>1</v>
      </c>
      <c r="T16" s="6">
        <v>0</v>
      </c>
      <c r="U16" s="6">
        <v>59</v>
      </c>
      <c r="V16" s="7">
        <v>33</v>
      </c>
    </row>
    <row r="17" spans="1:23" ht="11.25" customHeight="1" x14ac:dyDescent="0.15">
      <c r="A17" s="67"/>
      <c r="B17" s="28" t="s">
        <v>36</v>
      </c>
      <c r="C17" s="72" t="s">
        <v>48</v>
      </c>
      <c r="D17" s="73"/>
      <c r="E17" s="6">
        <v>13181</v>
      </c>
      <c r="F17" s="6">
        <v>85575</v>
      </c>
      <c r="G17" s="6">
        <v>83988</v>
      </c>
      <c r="H17" s="6">
        <v>80676</v>
      </c>
      <c r="I17" s="6">
        <v>691</v>
      </c>
      <c r="J17" s="6">
        <v>1159</v>
      </c>
      <c r="K17" s="6">
        <v>3686</v>
      </c>
      <c r="L17" s="6">
        <v>81675</v>
      </c>
      <c r="M17" s="6">
        <v>54836</v>
      </c>
      <c r="N17" s="6">
        <v>54588</v>
      </c>
      <c r="O17" s="6">
        <v>39249</v>
      </c>
      <c r="P17" s="8">
        <v>4117</v>
      </c>
      <c r="Q17" s="8">
        <v>1258</v>
      </c>
      <c r="R17" s="8">
        <v>8699</v>
      </c>
      <c r="S17" s="8">
        <v>7</v>
      </c>
      <c r="T17" s="8">
        <v>0</v>
      </c>
      <c r="U17" s="6">
        <v>642</v>
      </c>
      <c r="V17" s="9">
        <v>9149</v>
      </c>
    </row>
    <row r="18" spans="1:23" ht="11.25" customHeight="1" x14ac:dyDescent="0.15">
      <c r="A18" s="60">
        <v>29</v>
      </c>
      <c r="B18" s="61" t="s">
        <v>37</v>
      </c>
      <c r="C18" s="64" t="s">
        <v>38</v>
      </c>
      <c r="D18" s="65"/>
      <c r="E18" s="10">
        <v>19</v>
      </c>
      <c r="F18" s="10">
        <v>85</v>
      </c>
      <c r="G18" s="10">
        <v>786</v>
      </c>
      <c r="H18" s="10">
        <v>170</v>
      </c>
      <c r="I18" s="10">
        <v>125</v>
      </c>
      <c r="J18" s="10">
        <v>15</v>
      </c>
      <c r="K18" s="10">
        <v>119</v>
      </c>
      <c r="L18" s="10">
        <v>874</v>
      </c>
      <c r="M18" s="10">
        <v>165</v>
      </c>
      <c r="N18" s="10">
        <v>162</v>
      </c>
      <c r="O18" s="10">
        <v>42</v>
      </c>
      <c r="P18" s="6">
        <v>25</v>
      </c>
      <c r="Q18" s="6">
        <v>4</v>
      </c>
      <c r="R18" s="6">
        <v>56</v>
      </c>
      <c r="S18" s="6">
        <v>1</v>
      </c>
      <c r="T18" s="6">
        <v>0</v>
      </c>
      <c r="U18" s="10">
        <v>57</v>
      </c>
      <c r="V18" s="7">
        <v>16</v>
      </c>
    </row>
    <row r="19" spans="1:23" ht="11.25" customHeight="1" x14ac:dyDescent="0.15">
      <c r="A19" s="60"/>
      <c r="B19" s="62"/>
      <c r="C19" s="66" t="s">
        <v>39</v>
      </c>
      <c r="D19" s="60"/>
      <c r="E19" s="6">
        <v>9354</v>
      </c>
      <c r="F19" s="6">
        <v>53930</v>
      </c>
      <c r="G19" s="6">
        <v>77087</v>
      </c>
      <c r="H19" s="6">
        <v>67319</v>
      </c>
      <c r="I19" s="6">
        <v>689</v>
      </c>
      <c r="J19" s="6">
        <v>1159</v>
      </c>
      <c r="K19" s="6">
        <v>3570</v>
      </c>
      <c r="L19" s="6">
        <v>69241</v>
      </c>
      <c r="M19" s="6">
        <v>36387</v>
      </c>
      <c r="N19" s="6">
        <v>48417</v>
      </c>
      <c r="O19" s="6">
        <v>28265</v>
      </c>
      <c r="P19" s="6">
        <v>4089</v>
      </c>
      <c r="Q19" s="6">
        <v>1258</v>
      </c>
      <c r="R19" s="6">
        <v>8063</v>
      </c>
      <c r="S19" s="6">
        <v>7</v>
      </c>
      <c r="T19" s="6">
        <v>0</v>
      </c>
      <c r="U19" s="6">
        <v>637</v>
      </c>
      <c r="V19" s="9">
        <v>8812</v>
      </c>
    </row>
    <row r="20" spans="1:23" ht="11.25" customHeight="1" x14ac:dyDescent="0.15">
      <c r="A20" s="60"/>
      <c r="B20" s="62"/>
      <c r="C20" s="35"/>
      <c r="D20" s="29" t="s">
        <v>1</v>
      </c>
      <c r="E20" s="6">
        <v>9076</v>
      </c>
      <c r="F20" s="6">
        <v>52563</v>
      </c>
      <c r="G20" s="6">
        <v>73615</v>
      </c>
      <c r="H20" s="6">
        <v>65448</v>
      </c>
      <c r="I20" s="6">
        <v>620</v>
      </c>
      <c r="J20" s="6">
        <v>1146</v>
      </c>
      <c r="K20" s="6">
        <v>2981</v>
      </c>
      <c r="L20" s="6">
        <v>64870</v>
      </c>
      <c r="M20" s="6">
        <v>34771</v>
      </c>
      <c r="N20" s="6">
        <v>46653</v>
      </c>
      <c r="O20" s="6">
        <v>27834</v>
      </c>
      <c r="P20" s="6">
        <v>3866</v>
      </c>
      <c r="Q20" s="6">
        <v>1176</v>
      </c>
      <c r="R20" s="6">
        <v>7769</v>
      </c>
      <c r="S20" s="6">
        <v>7</v>
      </c>
      <c r="T20" s="6">
        <v>0</v>
      </c>
      <c r="U20" s="6">
        <v>590</v>
      </c>
      <c r="V20" s="9">
        <v>8644</v>
      </c>
    </row>
    <row r="21" spans="1:23" ht="11.25" customHeight="1" x14ac:dyDescent="0.15">
      <c r="A21" s="60"/>
      <c r="B21" s="63"/>
      <c r="C21" s="36"/>
      <c r="D21" s="30" t="s">
        <v>3</v>
      </c>
      <c r="E21" s="8">
        <v>278</v>
      </c>
      <c r="F21" s="8">
        <v>1367</v>
      </c>
      <c r="G21" s="8">
        <v>3472</v>
      </c>
      <c r="H21" s="8">
        <v>1871</v>
      </c>
      <c r="I21" s="8">
        <v>69</v>
      </c>
      <c r="J21" s="8">
        <v>13</v>
      </c>
      <c r="K21" s="8">
        <v>589</v>
      </c>
      <c r="L21" s="8">
        <v>4371</v>
      </c>
      <c r="M21" s="8">
        <v>1616</v>
      </c>
      <c r="N21" s="8">
        <v>1764</v>
      </c>
      <c r="O21" s="8">
        <v>431</v>
      </c>
      <c r="P21" s="8">
        <v>223</v>
      </c>
      <c r="Q21" s="8">
        <v>82</v>
      </c>
      <c r="R21" s="8">
        <v>294</v>
      </c>
      <c r="S21" s="8">
        <v>0</v>
      </c>
      <c r="T21" s="8">
        <v>0</v>
      </c>
      <c r="U21" s="8">
        <v>47</v>
      </c>
      <c r="V21" s="11">
        <v>168</v>
      </c>
    </row>
    <row r="22" spans="1:23" ht="11.25" customHeight="1" x14ac:dyDescent="0.15">
      <c r="A22" s="67" t="s">
        <v>2</v>
      </c>
      <c r="B22" s="61" t="s">
        <v>40</v>
      </c>
      <c r="C22" s="64" t="s">
        <v>38</v>
      </c>
      <c r="D22" s="65"/>
      <c r="E22" s="6">
        <v>11</v>
      </c>
      <c r="F22" s="6">
        <v>121</v>
      </c>
      <c r="G22" s="6">
        <v>363</v>
      </c>
      <c r="H22" s="6">
        <v>265</v>
      </c>
      <c r="I22" s="6">
        <v>1</v>
      </c>
      <c r="J22" s="6">
        <v>0</v>
      </c>
      <c r="K22" s="6">
        <v>6</v>
      </c>
      <c r="L22" s="6">
        <v>608</v>
      </c>
      <c r="M22" s="6">
        <v>629</v>
      </c>
      <c r="N22" s="6">
        <v>209</v>
      </c>
      <c r="O22" s="6">
        <v>255</v>
      </c>
      <c r="P22" s="6">
        <v>2</v>
      </c>
      <c r="Q22" s="6">
        <v>0</v>
      </c>
      <c r="R22" s="6">
        <v>7</v>
      </c>
      <c r="S22" s="6">
        <v>0</v>
      </c>
      <c r="T22" s="6">
        <v>0</v>
      </c>
      <c r="U22" s="6">
        <v>2</v>
      </c>
      <c r="V22" s="9">
        <v>17</v>
      </c>
    </row>
    <row r="23" spans="1:23" ht="11.25" customHeight="1" x14ac:dyDescent="0.15">
      <c r="A23" s="67"/>
      <c r="B23" s="62"/>
      <c r="C23" s="66" t="s">
        <v>39</v>
      </c>
      <c r="D23" s="60"/>
      <c r="E23" s="6">
        <v>3827</v>
      </c>
      <c r="F23" s="6">
        <v>31645</v>
      </c>
      <c r="G23" s="6">
        <v>6901</v>
      </c>
      <c r="H23" s="6">
        <v>13357</v>
      </c>
      <c r="I23" s="6">
        <v>2</v>
      </c>
      <c r="J23" s="6">
        <v>0</v>
      </c>
      <c r="K23" s="6">
        <v>116</v>
      </c>
      <c r="L23" s="6">
        <v>12434</v>
      </c>
      <c r="M23" s="6">
        <v>18449</v>
      </c>
      <c r="N23" s="6">
        <v>6171</v>
      </c>
      <c r="O23" s="6">
        <v>10984</v>
      </c>
      <c r="P23" s="6">
        <v>28</v>
      </c>
      <c r="Q23" s="6">
        <v>0</v>
      </c>
      <c r="R23" s="6">
        <v>636</v>
      </c>
      <c r="S23" s="6">
        <v>0</v>
      </c>
      <c r="T23" s="6">
        <v>0</v>
      </c>
      <c r="U23" s="6">
        <v>5</v>
      </c>
      <c r="V23" s="9">
        <v>337</v>
      </c>
    </row>
    <row r="24" spans="1:23" ht="11.25" customHeight="1" x14ac:dyDescent="0.15">
      <c r="A24" s="67"/>
      <c r="B24" s="62"/>
      <c r="C24" s="35"/>
      <c r="D24" s="29" t="s">
        <v>1</v>
      </c>
      <c r="E24" s="6">
        <v>3744</v>
      </c>
      <c r="F24" s="6">
        <v>30833</v>
      </c>
      <c r="G24" s="6">
        <v>6686</v>
      </c>
      <c r="H24" s="6">
        <v>13010</v>
      </c>
      <c r="I24" s="6">
        <v>2</v>
      </c>
      <c r="J24" s="6">
        <v>0</v>
      </c>
      <c r="K24" s="6">
        <v>84</v>
      </c>
      <c r="L24" s="6">
        <v>11810</v>
      </c>
      <c r="M24" s="6">
        <v>17877</v>
      </c>
      <c r="N24" s="6">
        <v>6021</v>
      </c>
      <c r="O24" s="6">
        <v>10763</v>
      </c>
      <c r="P24" s="6">
        <v>28</v>
      </c>
      <c r="Q24" s="6">
        <v>0</v>
      </c>
      <c r="R24" s="6">
        <v>579</v>
      </c>
      <c r="S24" s="6">
        <v>0</v>
      </c>
      <c r="T24" s="6">
        <v>0</v>
      </c>
      <c r="U24" s="6">
        <v>5</v>
      </c>
      <c r="V24" s="9">
        <v>321</v>
      </c>
    </row>
    <row r="25" spans="1:23" ht="11.25" customHeight="1" x14ac:dyDescent="0.15">
      <c r="A25" s="68"/>
      <c r="B25" s="63"/>
      <c r="C25" s="36"/>
      <c r="D25" s="30" t="s">
        <v>3</v>
      </c>
      <c r="E25" s="8">
        <v>83</v>
      </c>
      <c r="F25" s="8">
        <v>812</v>
      </c>
      <c r="G25" s="8">
        <v>215</v>
      </c>
      <c r="H25" s="8">
        <v>347</v>
      </c>
      <c r="I25" s="8">
        <v>0</v>
      </c>
      <c r="J25" s="8">
        <v>0</v>
      </c>
      <c r="K25" s="8">
        <v>32</v>
      </c>
      <c r="L25" s="8">
        <v>624</v>
      </c>
      <c r="M25" s="8">
        <v>572</v>
      </c>
      <c r="N25" s="8">
        <v>150</v>
      </c>
      <c r="O25" s="8">
        <v>221</v>
      </c>
      <c r="P25" s="8">
        <v>0</v>
      </c>
      <c r="Q25" s="8">
        <v>0</v>
      </c>
      <c r="R25" s="8">
        <v>57</v>
      </c>
      <c r="S25" s="8">
        <v>0</v>
      </c>
      <c r="T25" s="8">
        <v>0</v>
      </c>
      <c r="U25" s="8">
        <v>0</v>
      </c>
      <c r="V25" s="11">
        <v>16</v>
      </c>
    </row>
    <row r="26" spans="1:23" ht="11.25" customHeight="1" x14ac:dyDescent="0.15">
      <c r="A26" s="39" t="s">
        <v>0</v>
      </c>
      <c r="B26" s="32" t="s">
        <v>35</v>
      </c>
      <c r="C26" s="44" t="s">
        <v>47</v>
      </c>
      <c r="D26" s="45"/>
      <c r="E26" s="21">
        <v>32</v>
      </c>
      <c r="F26" s="21">
        <v>221</v>
      </c>
      <c r="G26" s="21">
        <v>1089</v>
      </c>
      <c r="H26" s="21">
        <v>378</v>
      </c>
      <c r="I26" s="21">
        <v>118</v>
      </c>
      <c r="J26" s="21">
        <v>6</v>
      </c>
      <c r="K26" s="21">
        <v>160</v>
      </c>
      <c r="L26" s="21">
        <v>1422</v>
      </c>
      <c r="M26" s="21">
        <v>797</v>
      </c>
      <c r="N26" s="21">
        <v>324</v>
      </c>
      <c r="O26" s="21">
        <v>279</v>
      </c>
      <c r="P26" s="21">
        <v>10</v>
      </c>
      <c r="Q26" s="21">
        <v>0</v>
      </c>
      <c r="R26" s="21">
        <v>54</v>
      </c>
      <c r="S26" s="21">
        <v>0</v>
      </c>
      <c r="T26" s="21">
        <v>0</v>
      </c>
      <c r="U26" s="21">
        <v>66</v>
      </c>
      <c r="V26" s="3">
        <v>27</v>
      </c>
      <c r="W26" s="5"/>
    </row>
    <row r="27" spans="1:23" ht="11.25" customHeight="1" x14ac:dyDescent="0.15">
      <c r="A27" s="37"/>
      <c r="B27" s="22" t="s">
        <v>36</v>
      </c>
      <c r="C27" s="46" t="s">
        <v>48</v>
      </c>
      <c r="D27" s="47"/>
      <c r="E27" s="21">
        <v>6507</v>
      </c>
      <c r="F27" s="21">
        <v>96576</v>
      </c>
      <c r="G27" s="21">
        <v>79229</v>
      </c>
      <c r="H27" s="21">
        <v>66682</v>
      </c>
      <c r="I27" s="21">
        <v>621</v>
      </c>
      <c r="J27" s="21">
        <v>518</v>
      </c>
      <c r="K27" s="21">
        <v>4854</v>
      </c>
      <c r="L27" s="21">
        <v>79709</v>
      </c>
      <c r="M27" s="21">
        <v>54033</v>
      </c>
      <c r="N27" s="21">
        <v>44793</v>
      </c>
      <c r="O27" s="21">
        <v>38783</v>
      </c>
      <c r="P27" s="13">
        <v>1084</v>
      </c>
      <c r="Q27" s="21">
        <v>0</v>
      </c>
      <c r="R27" s="13">
        <v>2129</v>
      </c>
      <c r="S27" s="13">
        <v>0</v>
      </c>
      <c r="T27" s="13" t="s">
        <v>41</v>
      </c>
      <c r="U27" s="21">
        <v>734</v>
      </c>
      <c r="V27" s="3">
        <v>6762</v>
      </c>
      <c r="W27" s="5"/>
    </row>
    <row r="28" spans="1:23" ht="11.25" customHeight="1" x14ac:dyDescent="0.15">
      <c r="A28" s="43">
        <v>30</v>
      </c>
      <c r="B28" s="48" t="s">
        <v>37</v>
      </c>
      <c r="C28" s="40" t="s">
        <v>38</v>
      </c>
      <c r="D28" s="41"/>
      <c r="E28" s="12">
        <v>20</v>
      </c>
      <c r="F28" s="12">
        <v>85</v>
      </c>
      <c r="G28" s="12">
        <v>749</v>
      </c>
      <c r="H28" s="12">
        <v>128</v>
      </c>
      <c r="I28" s="12">
        <v>117</v>
      </c>
      <c r="J28" s="12">
        <v>6</v>
      </c>
      <c r="K28" s="12">
        <v>151</v>
      </c>
      <c r="L28" s="12">
        <v>897</v>
      </c>
      <c r="M28" s="12">
        <v>167</v>
      </c>
      <c r="N28" s="12">
        <v>128</v>
      </c>
      <c r="O28" s="12">
        <v>41</v>
      </c>
      <c r="P28" s="21">
        <v>7</v>
      </c>
      <c r="Q28" s="12">
        <v>0</v>
      </c>
      <c r="R28" s="21">
        <v>48</v>
      </c>
      <c r="S28" s="21">
        <v>0</v>
      </c>
      <c r="T28" s="21">
        <v>0</v>
      </c>
      <c r="U28" s="12">
        <v>66</v>
      </c>
      <c r="V28" s="23">
        <v>11</v>
      </c>
      <c r="W28" s="5"/>
    </row>
    <row r="29" spans="1:23" ht="11.25" customHeight="1" x14ac:dyDescent="0.15">
      <c r="A29" s="43"/>
      <c r="B29" s="49"/>
      <c r="C29" s="42" t="s">
        <v>39</v>
      </c>
      <c r="D29" s="43"/>
      <c r="E29" s="21">
        <v>4209</v>
      </c>
      <c r="F29" s="21">
        <v>54891</v>
      </c>
      <c r="G29" s="21">
        <v>73200</v>
      </c>
      <c r="H29" s="21">
        <v>52996</v>
      </c>
      <c r="I29" s="21">
        <v>617</v>
      </c>
      <c r="J29" s="21">
        <v>518</v>
      </c>
      <c r="K29" s="21">
        <v>4722</v>
      </c>
      <c r="L29" s="21">
        <v>68081</v>
      </c>
      <c r="M29" s="21">
        <v>35011</v>
      </c>
      <c r="N29" s="21">
        <v>38319</v>
      </c>
      <c r="O29" s="21">
        <v>26441</v>
      </c>
      <c r="P29" s="21">
        <v>1025</v>
      </c>
      <c r="Q29" s="21">
        <v>0</v>
      </c>
      <c r="R29" s="21">
        <v>1988</v>
      </c>
      <c r="S29" s="21">
        <v>0</v>
      </c>
      <c r="T29" s="21">
        <v>0</v>
      </c>
      <c r="U29" s="21">
        <v>734</v>
      </c>
      <c r="V29" s="3">
        <v>6458</v>
      </c>
      <c r="W29" s="5"/>
    </row>
    <row r="30" spans="1:23" ht="11.25" customHeight="1" x14ac:dyDescent="0.15">
      <c r="A30" s="43"/>
      <c r="B30" s="49"/>
      <c r="C30" s="33"/>
      <c r="D30" s="24" t="s">
        <v>1</v>
      </c>
      <c r="E30" s="21">
        <v>3962</v>
      </c>
      <c r="F30" s="21">
        <v>53372</v>
      </c>
      <c r="G30" s="21">
        <v>69882</v>
      </c>
      <c r="H30" s="21">
        <v>51634</v>
      </c>
      <c r="I30" s="21">
        <v>553</v>
      </c>
      <c r="J30" s="21">
        <v>501</v>
      </c>
      <c r="K30" s="21">
        <v>3943</v>
      </c>
      <c r="L30" s="21">
        <v>63528</v>
      </c>
      <c r="M30" s="21">
        <v>33756</v>
      </c>
      <c r="N30" s="21">
        <v>36596</v>
      </c>
      <c r="O30" s="21">
        <v>25955</v>
      </c>
      <c r="P30" s="21">
        <v>998</v>
      </c>
      <c r="Q30" s="21">
        <v>0</v>
      </c>
      <c r="R30" s="21">
        <v>1847</v>
      </c>
      <c r="S30" s="21">
        <v>0</v>
      </c>
      <c r="T30" s="21">
        <v>0</v>
      </c>
      <c r="U30" s="21">
        <v>672</v>
      </c>
      <c r="V30" s="3">
        <v>6342</v>
      </c>
      <c r="W30" s="5"/>
    </row>
    <row r="31" spans="1:23" ht="11.25" customHeight="1" x14ac:dyDescent="0.15">
      <c r="A31" s="43"/>
      <c r="B31" s="50"/>
      <c r="C31" s="34"/>
      <c r="D31" s="25" t="s">
        <v>3</v>
      </c>
      <c r="E31" s="13">
        <v>247</v>
      </c>
      <c r="F31" s="13">
        <v>1519</v>
      </c>
      <c r="G31" s="13">
        <v>3318</v>
      </c>
      <c r="H31" s="13">
        <v>1362</v>
      </c>
      <c r="I31" s="13">
        <v>64</v>
      </c>
      <c r="J31" s="13">
        <v>17</v>
      </c>
      <c r="K31" s="13">
        <v>779</v>
      </c>
      <c r="L31" s="13">
        <v>4553</v>
      </c>
      <c r="M31" s="13">
        <v>1255</v>
      </c>
      <c r="N31" s="13">
        <v>1723</v>
      </c>
      <c r="O31" s="13">
        <v>486</v>
      </c>
      <c r="P31" s="13">
        <v>27</v>
      </c>
      <c r="Q31" s="13">
        <v>0</v>
      </c>
      <c r="R31" s="13">
        <v>141</v>
      </c>
      <c r="S31" s="13">
        <v>0</v>
      </c>
      <c r="T31" s="13">
        <v>0</v>
      </c>
      <c r="U31" s="13">
        <v>62</v>
      </c>
      <c r="V31" s="26">
        <v>116</v>
      </c>
      <c r="W31" s="5"/>
    </row>
    <row r="32" spans="1:23" ht="11.25" customHeight="1" x14ac:dyDescent="0.15">
      <c r="A32" s="43"/>
      <c r="B32" s="48" t="s">
        <v>40</v>
      </c>
      <c r="C32" s="40" t="s">
        <v>38</v>
      </c>
      <c r="D32" s="41"/>
      <c r="E32" s="21">
        <v>12</v>
      </c>
      <c r="F32" s="21">
        <v>136</v>
      </c>
      <c r="G32" s="21">
        <v>340</v>
      </c>
      <c r="H32" s="21">
        <v>250</v>
      </c>
      <c r="I32" s="21">
        <v>1</v>
      </c>
      <c r="J32" s="21">
        <v>0</v>
      </c>
      <c r="K32" s="21">
        <v>9</v>
      </c>
      <c r="L32" s="21">
        <v>525</v>
      </c>
      <c r="M32" s="21">
        <v>630</v>
      </c>
      <c r="N32" s="21">
        <v>196</v>
      </c>
      <c r="O32" s="21">
        <v>238</v>
      </c>
      <c r="P32" s="21">
        <v>3</v>
      </c>
      <c r="Q32" s="21">
        <v>0</v>
      </c>
      <c r="R32" s="21">
        <v>6</v>
      </c>
      <c r="S32" s="21">
        <v>0</v>
      </c>
      <c r="T32" s="21">
        <v>0</v>
      </c>
      <c r="U32" s="21">
        <v>0</v>
      </c>
      <c r="V32" s="3">
        <v>16</v>
      </c>
      <c r="W32" s="5"/>
    </row>
    <row r="33" spans="1:23" ht="11.25" customHeight="1" x14ac:dyDescent="0.15">
      <c r="A33" s="43"/>
      <c r="B33" s="49"/>
      <c r="C33" s="42" t="s">
        <v>39</v>
      </c>
      <c r="D33" s="43"/>
      <c r="E33" s="21">
        <v>2298</v>
      </c>
      <c r="F33" s="21">
        <v>41685</v>
      </c>
      <c r="G33" s="21">
        <v>6029</v>
      </c>
      <c r="H33" s="21">
        <v>13686</v>
      </c>
      <c r="I33" s="21">
        <v>4</v>
      </c>
      <c r="J33" s="21">
        <v>0</v>
      </c>
      <c r="K33" s="21">
        <v>132</v>
      </c>
      <c r="L33" s="21">
        <v>11628</v>
      </c>
      <c r="M33" s="21">
        <v>19022</v>
      </c>
      <c r="N33" s="21">
        <v>6474</v>
      </c>
      <c r="O33" s="21">
        <v>12342</v>
      </c>
      <c r="P33" s="21">
        <v>59</v>
      </c>
      <c r="Q33" s="21">
        <v>0</v>
      </c>
      <c r="R33" s="21">
        <v>141</v>
      </c>
      <c r="S33" s="21">
        <v>0</v>
      </c>
      <c r="T33" s="21">
        <v>0</v>
      </c>
      <c r="U33" s="21">
        <v>0</v>
      </c>
      <c r="V33" s="3">
        <v>304</v>
      </c>
      <c r="W33" s="5"/>
    </row>
    <row r="34" spans="1:23" ht="11.25" customHeight="1" x14ac:dyDescent="0.15">
      <c r="A34" s="43"/>
      <c r="B34" s="49"/>
      <c r="C34" s="33"/>
      <c r="D34" s="24" t="s">
        <v>1</v>
      </c>
      <c r="E34" s="21">
        <v>2188</v>
      </c>
      <c r="F34" s="21">
        <v>40361</v>
      </c>
      <c r="G34" s="21">
        <v>5805</v>
      </c>
      <c r="H34" s="21">
        <v>13344</v>
      </c>
      <c r="I34" s="21">
        <v>4</v>
      </c>
      <c r="J34" s="21">
        <v>0</v>
      </c>
      <c r="K34" s="21">
        <v>123</v>
      </c>
      <c r="L34" s="21">
        <v>11142</v>
      </c>
      <c r="M34" s="21">
        <v>18435</v>
      </c>
      <c r="N34" s="21">
        <v>6326</v>
      </c>
      <c r="O34" s="21">
        <v>12160</v>
      </c>
      <c r="P34" s="21">
        <v>53</v>
      </c>
      <c r="Q34" s="21">
        <v>0</v>
      </c>
      <c r="R34" s="21">
        <v>131</v>
      </c>
      <c r="S34" s="21">
        <v>0</v>
      </c>
      <c r="T34" s="21">
        <v>0</v>
      </c>
      <c r="U34" s="21">
        <v>0</v>
      </c>
      <c r="V34" s="3">
        <v>293</v>
      </c>
      <c r="W34" s="5"/>
    </row>
    <row r="35" spans="1:23" ht="11.25" customHeight="1" x14ac:dyDescent="0.15">
      <c r="A35" s="43"/>
      <c r="B35" s="50"/>
      <c r="C35" s="34"/>
      <c r="D35" s="25" t="s">
        <v>3</v>
      </c>
      <c r="E35" s="13">
        <v>110</v>
      </c>
      <c r="F35" s="13">
        <v>1324</v>
      </c>
      <c r="G35" s="13">
        <v>224</v>
      </c>
      <c r="H35" s="13">
        <v>342</v>
      </c>
      <c r="I35" s="13">
        <v>0</v>
      </c>
      <c r="J35" s="13">
        <v>0</v>
      </c>
      <c r="K35" s="13">
        <v>9</v>
      </c>
      <c r="L35" s="13">
        <v>486</v>
      </c>
      <c r="M35" s="13">
        <v>587</v>
      </c>
      <c r="N35" s="13">
        <v>148</v>
      </c>
      <c r="O35" s="13">
        <v>182</v>
      </c>
      <c r="P35" s="13">
        <v>6</v>
      </c>
      <c r="Q35" s="13">
        <v>0</v>
      </c>
      <c r="R35" s="13">
        <v>10</v>
      </c>
      <c r="S35" s="13">
        <v>0</v>
      </c>
      <c r="T35" s="13">
        <v>0</v>
      </c>
      <c r="U35" s="13">
        <v>0</v>
      </c>
      <c r="V35" s="26">
        <v>11</v>
      </c>
      <c r="W35" s="5"/>
    </row>
    <row r="36" spans="1:23" ht="11.25" customHeight="1" x14ac:dyDescent="0.15">
      <c r="A36" s="37" t="s">
        <v>2</v>
      </c>
      <c r="B36" s="39" t="s">
        <v>49</v>
      </c>
      <c r="C36" s="40" t="s">
        <v>38</v>
      </c>
      <c r="D36" s="41"/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3" t="s">
        <v>42</v>
      </c>
      <c r="W36" s="5"/>
    </row>
    <row r="37" spans="1:23" ht="11.25" customHeight="1" x14ac:dyDescent="0.15">
      <c r="A37" s="37"/>
      <c r="B37" s="37"/>
      <c r="C37" s="42" t="s">
        <v>39</v>
      </c>
      <c r="D37" s="43"/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3">
        <v>0</v>
      </c>
      <c r="W37" s="5"/>
    </row>
    <row r="38" spans="1:23" ht="11.25" customHeight="1" x14ac:dyDescent="0.15">
      <c r="A38" s="37"/>
      <c r="B38" s="37"/>
      <c r="C38" s="33"/>
      <c r="D38" s="24" t="s">
        <v>1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3">
        <v>0</v>
      </c>
      <c r="W38" s="5"/>
    </row>
    <row r="39" spans="1:23" ht="11.25" customHeight="1" x14ac:dyDescent="0.15">
      <c r="A39" s="38"/>
      <c r="B39" s="38"/>
      <c r="C39" s="34"/>
      <c r="D39" s="31" t="s">
        <v>3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6">
        <v>0</v>
      </c>
      <c r="W39" s="5"/>
    </row>
    <row r="40" spans="1:23" ht="11.25" customHeight="1" x14ac:dyDescent="0.15">
      <c r="A40" s="39" t="s">
        <v>50</v>
      </c>
      <c r="B40" s="32" t="s">
        <v>35</v>
      </c>
      <c r="C40" s="44" t="s">
        <v>47</v>
      </c>
      <c r="D40" s="45"/>
      <c r="E40" s="21">
        <v>27</v>
      </c>
      <c r="F40" s="21">
        <v>133</v>
      </c>
      <c r="G40" s="21">
        <v>728</v>
      </c>
      <c r="H40" s="21">
        <v>227</v>
      </c>
      <c r="I40" s="21">
        <v>67</v>
      </c>
      <c r="J40" s="21">
        <v>5</v>
      </c>
      <c r="K40" s="21">
        <v>53</v>
      </c>
      <c r="L40" s="21">
        <v>923</v>
      </c>
      <c r="M40" s="21">
        <v>504</v>
      </c>
      <c r="N40" s="21">
        <v>218</v>
      </c>
      <c r="O40" s="21">
        <v>175</v>
      </c>
      <c r="P40" s="21">
        <v>10</v>
      </c>
      <c r="Q40" s="21">
        <v>4</v>
      </c>
      <c r="R40" s="21">
        <v>31</v>
      </c>
      <c r="S40" s="21">
        <v>0</v>
      </c>
      <c r="T40" s="21">
        <v>0</v>
      </c>
      <c r="U40" s="21">
        <v>32</v>
      </c>
      <c r="V40" s="3">
        <v>15</v>
      </c>
      <c r="W40" s="5"/>
    </row>
    <row r="41" spans="1:23" ht="11.25" customHeight="1" x14ac:dyDescent="0.15">
      <c r="A41" s="37"/>
      <c r="B41" s="22" t="s">
        <v>36</v>
      </c>
      <c r="C41" s="46" t="s">
        <v>48</v>
      </c>
      <c r="D41" s="47"/>
      <c r="E41" s="21">
        <v>5820</v>
      </c>
      <c r="F41" s="21">
        <v>60694</v>
      </c>
      <c r="G41" s="21">
        <v>59208</v>
      </c>
      <c r="H41" s="21">
        <v>61531</v>
      </c>
      <c r="I41" s="21">
        <v>397</v>
      </c>
      <c r="J41" s="21">
        <v>434</v>
      </c>
      <c r="K41" s="21">
        <v>1692</v>
      </c>
      <c r="L41" s="21">
        <v>49019</v>
      </c>
      <c r="M41" s="21">
        <v>40822</v>
      </c>
      <c r="N41" s="21">
        <v>33429</v>
      </c>
      <c r="O41" s="21">
        <v>23575</v>
      </c>
      <c r="P41" s="13">
        <v>1502</v>
      </c>
      <c r="Q41" s="21">
        <v>628</v>
      </c>
      <c r="R41" s="13">
        <v>1481</v>
      </c>
      <c r="S41" s="13">
        <v>0</v>
      </c>
      <c r="T41" s="13" t="s">
        <v>41</v>
      </c>
      <c r="U41" s="21">
        <v>312</v>
      </c>
      <c r="V41" s="3">
        <v>4869</v>
      </c>
      <c r="W41" s="5"/>
    </row>
    <row r="42" spans="1:23" ht="11.25" customHeight="1" x14ac:dyDescent="0.15">
      <c r="A42" s="43" t="s">
        <v>51</v>
      </c>
      <c r="B42" s="48" t="s">
        <v>37</v>
      </c>
      <c r="C42" s="40" t="s">
        <v>38</v>
      </c>
      <c r="D42" s="41"/>
      <c r="E42" s="12">
        <v>16</v>
      </c>
      <c r="F42" s="12">
        <v>61</v>
      </c>
      <c r="G42" s="12">
        <v>497</v>
      </c>
      <c r="H42" s="12">
        <v>122</v>
      </c>
      <c r="I42" s="12">
        <v>64</v>
      </c>
      <c r="J42" s="12">
        <v>5</v>
      </c>
      <c r="K42" s="12">
        <v>52</v>
      </c>
      <c r="L42" s="12">
        <v>590</v>
      </c>
      <c r="M42" s="12">
        <v>119</v>
      </c>
      <c r="N42" s="12">
        <v>94</v>
      </c>
      <c r="O42" s="12">
        <v>25</v>
      </c>
      <c r="P42" s="21">
        <v>7</v>
      </c>
      <c r="Q42" s="12">
        <v>1</v>
      </c>
      <c r="R42" s="21">
        <v>19</v>
      </c>
      <c r="S42" s="21">
        <v>0</v>
      </c>
      <c r="T42" s="21">
        <v>0</v>
      </c>
      <c r="U42" s="12">
        <v>32</v>
      </c>
      <c r="V42" s="23">
        <v>9</v>
      </c>
      <c r="W42" s="5"/>
    </row>
    <row r="43" spans="1:23" ht="11.25" customHeight="1" x14ac:dyDescent="0.15">
      <c r="A43" s="43"/>
      <c r="B43" s="49"/>
      <c r="C43" s="42" t="s">
        <v>39</v>
      </c>
      <c r="D43" s="43"/>
      <c r="E43" s="21">
        <v>2906</v>
      </c>
      <c r="F43" s="21">
        <v>39771</v>
      </c>
      <c r="G43" s="21">
        <v>53509</v>
      </c>
      <c r="H43" s="21">
        <v>54406</v>
      </c>
      <c r="I43" s="21">
        <v>330</v>
      </c>
      <c r="J43" s="21">
        <v>434</v>
      </c>
      <c r="K43" s="21">
        <v>1670</v>
      </c>
      <c r="L43" s="21">
        <v>42178</v>
      </c>
      <c r="M43" s="21">
        <v>27526</v>
      </c>
      <c r="N43" s="21">
        <v>29669</v>
      </c>
      <c r="O43" s="21">
        <v>16613</v>
      </c>
      <c r="P43" s="21">
        <v>1372</v>
      </c>
      <c r="Q43" s="21">
        <v>174</v>
      </c>
      <c r="R43" s="21">
        <v>831</v>
      </c>
      <c r="S43" s="21">
        <v>0</v>
      </c>
      <c r="T43" s="21">
        <v>0</v>
      </c>
      <c r="U43" s="21">
        <v>312</v>
      </c>
      <c r="V43" s="3">
        <v>4674</v>
      </c>
      <c r="W43" s="5"/>
    </row>
    <row r="44" spans="1:23" ht="11.25" customHeight="1" x14ac:dyDescent="0.15">
      <c r="A44" s="43"/>
      <c r="B44" s="49"/>
      <c r="C44" s="33"/>
      <c r="D44" s="24" t="s">
        <v>1</v>
      </c>
      <c r="E44" s="21">
        <v>2879</v>
      </c>
      <c r="F44" s="21">
        <v>39281</v>
      </c>
      <c r="G44" s="21">
        <v>51297</v>
      </c>
      <c r="H44" s="21">
        <v>52999</v>
      </c>
      <c r="I44" s="21">
        <v>306</v>
      </c>
      <c r="J44" s="21">
        <v>417</v>
      </c>
      <c r="K44" s="21">
        <v>1465</v>
      </c>
      <c r="L44" s="21">
        <v>40415</v>
      </c>
      <c r="M44" s="21">
        <v>26533</v>
      </c>
      <c r="N44" s="21">
        <v>28601</v>
      </c>
      <c r="O44" s="21">
        <v>16316</v>
      </c>
      <c r="P44" s="21">
        <v>1283</v>
      </c>
      <c r="Q44" s="21">
        <v>157</v>
      </c>
      <c r="R44" s="21">
        <v>783</v>
      </c>
      <c r="S44" s="21">
        <v>0</v>
      </c>
      <c r="T44" s="21">
        <v>0</v>
      </c>
      <c r="U44" s="21">
        <v>290</v>
      </c>
      <c r="V44" s="3">
        <v>4452</v>
      </c>
      <c r="W44" s="5"/>
    </row>
    <row r="45" spans="1:23" ht="11.25" customHeight="1" x14ac:dyDescent="0.15">
      <c r="A45" s="43"/>
      <c r="B45" s="50"/>
      <c r="C45" s="34"/>
      <c r="D45" s="25" t="s">
        <v>3</v>
      </c>
      <c r="E45" s="13">
        <v>27</v>
      </c>
      <c r="F45" s="13">
        <v>490</v>
      </c>
      <c r="G45" s="13">
        <v>2212</v>
      </c>
      <c r="H45" s="13">
        <v>1407</v>
      </c>
      <c r="I45" s="13">
        <v>24</v>
      </c>
      <c r="J45" s="13">
        <v>17</v>
      </c>
      <c r="K45" s="13">
        <v>205</v>
      </c>
      <c r="L45" s="13">
        <v>1763</v>
      </c>
      <c r="M45" s="13">
        <v>993</v>
      </c>
      <c r="N45" s="13">
        <v>1068</v>
      </c>
      <c r="O45" s="13">
        <v>297</v>
      </c>
      <c r="P45" s="13">
        <v>89</v>
      </c>
      <c r="Q45" s="13">
        <v>17</v>
      </c>
      <c r="R45" s="13">
        <v>48</v>
      </c>
      <c r="S45" s="13">
        <v>0</v>
      </c>
      <c r="T45" s="13">
        <v>0</v>
      </c>
      <c r="U45" s="13">
        <v>22</v>
      </c>
      <c r="V45" s="26">
        <v>222</v>
      </c>
      <c r="W45" s="5"/>
    </row>
    <row r="46" spans="1:23" ht="11.25" customHeight="1" x14ac:dyDescent="0.15">
      <c r="A46" s="43"/>
      <c r="B46" s="48" t="s">
        <v>40</v>
      </c>
      <c r="C46" s="40" t="s">
        <v>38</v>
      </c>
      <c r="D46" s="41"/>
      <c r="E46" s="21">
        <v>11</v>
      </c>
      <c r="F46" s="21">
        <v>72</v>
      </c>
      <c r="G46" s="21">
        <v>231</v>
      </c>
      <c r="H46" s="21">
        <v>105</v>
      </c>
      <c r="I46" s="21">
        <v>3</v>
      </c>
      <c r="J46" s="21">
        <v>0</v>
      </c>
      <c r="K46" s="21">
        <v>1</v>
      </c>
      <c r="L46" s="21">
        <v>333</v>
      </c>
      <c r="M46" s="21">
        <v>385</v>
      </c>
      <c r="N46" s="21">
        <v>124</v>
      </c>
      <c r="O46" s="21">
        <v>150</v>
      </c>
      <c r="P46" s="21">
        <v>3</v>
      </c>
      <c r="Q46" s="21">
        <v>3</v>
      </c>
      <c r="R46" s="21">
        <v>12</v>
      </c>
      <c r="S46" s="21">
        <v>0</v>
      </c>
      <c r="T46" s="21">
        <v>0</v>
      </c>
      <c r="U46" s="21">
        <v>1</v>
      </c>
      <c r="V46" s="3">
        <v>6</v>
      </c>
      <c r="W46" s="5"/>
    </row>
    <row r="47" spans="1:23" ht="11.25" customHeight="1" x14ac:dyDescent="0.15">
      <c r="A47" s="43"/>
      <c r="B47" s="49"/>
      <c r="C47" s="42" t="s">
        <v>39</v>
      </c>
      <c r="D47" s="43"/>
      <c r="E47" s="21">
        <v>2914</v>
      </c>
      <c r="F47" s="21">
        <v>20923</v>
      </c>
      <c r="G47" s="21">
        <v>5699</v>
      </c>
      <c r="H47" s="21">
        <v>7125</v>
      </c>
      <c r="I47" s="21">
        <v>67</v>
      </c>
      <c r="J47" s="21">
        <v>0</v>
      </c>
      <c r="K47" s="21">
        <v>22</v>
      </c>
      <c r="L47" s="21">
        <v>6841</v>
      </c>
      <c r="M47" s="21">
        <v>13296</v>
      </c>
      <c r="N47" s="21">
        <v>3760</v>
      </c>
      <c r="O47" s="21">
        <v>6962</v>
      </c>
      <c r="P47" s="21">
        <v>130</v>
      </c>
      <c r="Q47" s="21">
        <v>454</v>
      </c>
      <c r="R47" s="21">
        <v>655</v>
      </c>
      <c r="S47" s="21">
        <v>0</v>
      </c>
      <c r="T47" s="21">
        <v>0</v>
      </c>
      <c r="U47" s="21">
        <v>3</v>
      </c>
      <c r="V47" s="3">
        <v>195</v>
      </c>
      <c r="W47" s="5"/>
    </row>
    <row r="48" spans="1:23" ht="11.25" customHeight="1" x14ac:dyDescent="0.15">
      <c r="A48" s="43"/>
      <c r="B48" s="49"/>
      <c r="C48" s="33"/>
      <c r="D48" s="24" t="s">
        <v>1</v>
      </c>
      <c r="E48" s="21">
        <v>2873</v>
      </c>
      <c r="F48" s="21">
        <v>20168</v>
      </c>
      <c r="G48" s="21">
        <v>5522</v>
      </c>
      <c r="H48" s="21">
        <v>6929</v>
      </c>
      <c r="I48" s="21">
        <v>57</v>
      </c>
      <c r="J48" s="21">
        <v>0</v>
      </c>
      <c r="K48" s="21">
        <v>20</v>
      </c>
      <c r="L48" s="21">
        <v>6547</v>
      </c>
      <c r="M48" s="21">
        <v>12949</v>
      </c>
      <c r="N48" s="21">
        <v>3679</v>
      </c>
      <c r="O48" s="21">
        <v>6887</v>
      </c>
      <c r="P48" s="21">
        <v>120</v>
      </c>
      <c r="Q48" s="21">
        <v>450</v>
      </c>
      <c r="R48" s="21">
        <v>634</v>
      </c>
      <c r="S48" s="21">
        <v>0</v>
      </c>
      <c r="T48" s="21">
        <v>0</v>
      </c>
      <c r="U48" s="21">
        <v>3</v>
      </c>
      <c r="V48" s="3">
        <v>156</v>
      </c>
      <c r="W48" s="5"/>
    </row>
    <row r="49" spans="1:23" ht="11.25" customHeight="1" x14ac:dyDescent="0.15">
      <c r="A49" s="43"/>
      <c r="B49" s="50"/>
      <c r="C49" s="34"/>
      <c r="D49" s="25" t="s">
        <v>3</v>
      </c>
      <c r="E49" s="13">
        <v>41</v>
      </c>
      <c r="F49" s="13">
        <v>755</v>
      </c>
      <c r="G49" s="13">
        <v>177</v>
      </c>
      <c r="H49" s="13">
        <v>196</v>
      </c>
      <c r="I49" s="13">
        <v>10</v>
      </c>
      <c r="J49" s="13">
        <v>0</v>
      </c>
      <c r="K49" s="13">
        <v>2</v>
      </c>
      <c r="L49" s="13">
        <v>294</v>
      </c>
      <c r="M49" s="13">
        <v>347</v>
      </c>
      <c r="N49" s="13">
        <v>81</v>
      </c>
      <c r="O49" s="13">
        <v>75</v>
      </c>
      <c r="P49" s="13">
        <v>10</v>
      </c>
      <c r="Q49" s="13">
        <v>4</v>
      </c>
      <c r="R49" s="13">
        <v>21</v>
      </c>
      <c r="S49" s="13">
        <v>0</v>
      </c>
      <c r="T49" s="13">
        <v>0</v>
      </c>
      <c r="U49" s="13">
        <v>0</v>
      </c>
      <c r="V49" s="26">
        <v>39</v>
      </c>
      <c r="W49" s="5"/>
    </row>
    <row r="50" spans="1:23" ht="11.25" customHeight="1" x14ac:dyDescent="0.15">
      <c r="A50" s="37" t="s">
        <v>2</v>
      </c>
      <c r="B50" s="39" t="s">
        <v>49</v>
      </c>
      <c r="C50" s="40" t="s">
        <v>38</v>
      </c>
      <c r="D50" s="41"/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3" t="s">
        <v>42</v>
      </c>
      <c r="W50" s="5"/>
    </row>
    <row r="51" spans="1:23" ht="11.25" customHeight="1" x14ac:dyDescent="0.15">
      <c r="A51" s="37"/>
      <c r="B51" s="37"/>
      <c r="C51" s="42" t="s">
        <v>39</v>
      </c>
      <c r="D51" s="43"/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0</v>
      </c>
      <c r="V51" s="3">
        <v>0</v>
      </c>
      <c r="W51" s="5"/>
    </row>
    <row r="52" spans="1:23" ht="11.25" customHeight="1" x14ac:dyDescent="0.15">
      <c r="A52" s="37"/>
      <c r="B52" s="37"/>
      <c r="C52" s="33"/>
      <c r="D52" s="24" t="s">
        <v>1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0</v>
      </c>
      <c r="V52" s="3">
        <v>0</v>
      </c>
      <c r="W52" s="5"/>
    </row>
    <row r="53" spans="1:23" ht="11.25" customHeight="1" x14ac:dyDescent="0.15">
      <c r="A53" s="38"/>
      <c r="B53" s="38"/>
      <c r="C53" s="34"/>
      <c r="D53" s="31" t="s">
        <v>3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6">
        <v>0</v>
      </c>
      <c r="W53" s="5"/>
    </row>
    <row r="54" spans="1:23" ht="11.25" customHeight="1" x14ac:dyDescent="0.15">
      <c r="A54" s="39" t="s">
        <v>50</v>
      </c>
      <c r="B54" s="32" t="s">
        <v>35</v>
      </c>
      <c r="C54" s="44" t="s">
        <v>47</v>
      </c>
      <c r="D54" s="45"/>
      <c r="E54" s="21">
        <f>E56+E60</f>
        <v>8</v>
      </c>
      <c r="F54" s="21">
        <f t="shared" ref="F54:V55" si="0">F56+F60</f>
        <v>130</v>
      </c>
      <c r="G54" s="21">
        <f t="shared" si="0"/>
        <v>726</v>
      </c>
      <c r="H54" s="21">
        <f t="shared" si="0"/>
        <v>253</v>
      </c>
      <c r="I54" s="21">
        <f t="shared" si="0"/>
        <v>47</v>
      </c>
      <c r="J54" s="21">
        <f t="shared" si="0"/>
        <v>3</v>
      </c>
      <c r="K54" s="21">
        <f t="shared" si="0"/>
        <v>72</v>
      </c>
      <c r="L54" s="21">
        <f t="shared" si="0"/>
        <v>981</v>
      </c>
      <c r="M54" s="21">
        <f t="shared" si="0"/>
        <v>461</v>
      </c>
      <c r="N54" s="21">
        <f t="shared" si="0"/>
        <v>222</v>
      </c>
      <c r="O54" s="21">
        <f t="shared" si="0"/>
        <v>155</v>
      </c>
      <c r="P54" s="21">
        <f t="shared" si="0"/>
        <v>8</v>
      </c>
      <c r="Q54" s="21">
        <f t="shared" si="0"/>
        <v>2</v>
      </c>
      <c r="R54" s="21">
        <f t="shared" si="0"/>
        <v>32</v>
      </c>
      <c r="S54" s="21">
        <f t="shared" si="0"/>
        <v>0</v>
      </c>
      <c r="T54" s="21">
        <f t="shared" si="0"/>
        <v>0</v>
      </c>
      <c r="U54" s="21">
        <f t="shared" si="0"/>
        <v>30</v>
      </c>
      <c r="V54" s="23">
        <f t="shared" si="0"/>
        <v>20</v>
      </c>
      <c r="W54" s="5"/>
    </row>
    <row r="55" spans="1:23" ht="11.25" customHeight="1" x14ac:dyDescent="0.15">
      <c r="A55" s="37"/>
      <c r="B55" s="22" t="s">
        <v>36</v>
      </c>
      <c r="C55" s="46" t="s">
        <v>48</v>
      </c>
      <c r="D55" s="47"/>
      <c r="E55" s="21">
        <f>E57+E61</f>
        <v>3539</v>
      </c>
      <c r="F55" s="21">
        <f t="shared" si="0"/>
        <v>48500</v>
      </c>
      <c r="G55" s="21">
        <f t="shared" si="0"/>
        <v>54814</v>
      </c>
      <c r="H55" s="21">
        <f t="shared" si="0"/>
        <v>49898</v>
      </c>
      <c r="I55" s="21">
        <f t="shared" si="0"/>
        <v>235</v>
      </c>
      <c r="J55" s="21">
        <f t="shared" si="0"/>
        <v>263</v>
      </c>
      <c r="K55" s="21">
        <f t="shared" si="0"/>
        <v>2369</v>
      </c>
      <c r="L55" s="21">
        <f t="shared" si="0"/>
        <v>57183</v>
      </c>
      <c r="M55" s="21">
        <f t="shared" si="0"/>
        <v>36758</v>
      </c>
      <c r="N55" s="21">
        <f t="shared" si="0"/>
        <v>37386</v>
      </c>
      <c r="O55" s="21">
        <f t="shared" si="0"/>
        <v>20530</v>
      </c>
      <c r="P55" s="21">
        <f t="shared" si="0"/>
        <v>413</v>
      </c>
      <c r="Q55" s="21">
        <f t="shared" si="0"/>
        <v>357</v>
      </c>
      <c r="R55" s="21">
        <f t="shared" si="0"/>
        <v>1225</v>
      </c>
      <c r="S55" s="21">
        <f t="shared" si="0"/>
        <v>0</v>
      </c>
      <c r="T55" s="21">
        <f t="shared" si="0"/>
        <v>0</v>
      </c>
      <c r="U55" s="21">
        <f t="shared" si="0"/>
        <v>296</v>
      </c>
      <c r="V55" s="3">
        <f t="shared" si="0"/>
        <v>8793</v>
      </c>
      <c r="W55" s="5"/>
    </row>
    <row r="56" spans="1:23" ht="11.25" customHeight="1" x14ac:dyDescent="0.15">
      <c r="A56" s="43">
        <v>2</v>
      </c>
      <c r="B56" s="48" t="s">
        <v>37</v>
      </c>
      <c r="C56" s="40" t="s">
        <v>38</v>
      </c>
      <c r="D56" s="41"/>
      <c r="E56" s="12">
        <v>6</v>
      </c>
      <c r="F56" s="12">
        <v>56</v>
      </c>
      <c r="G56" s="12">
        <v>506</v>
      </c>
      <c r="H56" s="12">
        <v>104</v>
      </c>
      <c r="I56" s="12">
        <v>47</v>
      </c>
      <c r="J56" s="12">
        <v>3</v>
      </c>
      <c r="K56" s="12">
        <v>64</v>
      </c>
      <c r="L56" s="12">
        <v>699</v>
      </c>
      <c r="M56" s="12">
        <v>117</v>
      </c>
      <c r="N56" s="12">
        <v>95</v>
      </c>
      <c r="O56" s="12">
        <v>18</v>
      </c>
      <c r="P56" s="12">
        <v>4</v>
      </c>
      <c r="Q56" s="12">
        <v>2</v>
      </c>
      <c r="R56" s="12">
        <v>27</v>
      </c>
      <c r="S56" s="12">
        <v>0</v>
      </c>
      <c r="T56" s="12">
        <v>0</v>
      </c>
      <c r="U56" s="12">
        <v>30</v>
      </c>
      <c r="V56" s="23">
        <v>13</v>
      </c>
      <c r="W56" s="5"/>
    </row>
    <row r="57" spans="1:23" ht="11.25" customHeight="1" x14ac:dyDescent="0.15">
      <c r="A57" s="43"/>
      <c r="B57" s="49"/>
      <c r="C57" s="42" t="s">
        <v>39</v>
      </c>
      <c r="D57" s="43"/>
      <c r="E57" s="21">
        <f>E58+E59</f>
        <v>1849</v>
      </c>
      <c r="F57" s="21">
        <f t="shared" ref="F57:V57" si="1">F58+F59</f>
        <v>28856</v>
      </c>
      <c r="G57" s="21">
        <f t="shared" si="1"/>
        <v>49204</v>
      </c>
      <c r="H57" s="21">
        <f t="shared" si="1"/>
        <v>43474</v>
      </c>
      <c r="I57" s="21">
        <f t="shared" si="1"/>
        <v>235</v>
      </c>
      <c r="J57" s="21">
        <f t="shared" si="1"/>
        <v>263</v>
      </c>
      <c r="K57" s="21">
        <f t="shared" si="1"/>
        <v>2171</v>
      </c>
      <c r="L57" s="21">
        <f t="shared" si="1"/>
        <v>51367</v>
      </c>
      <c r="M57" s="21">
        <f t="shared" si="1"/>
        <v>26200</v>
      </c>
      <c r="N57" s="21">
        <f t="shared" si="1"/>
        <v>33123</v>
      </c>
      <c r="O57" s="21">
        <f t="shared" si="1"/>
        <v>14073</v>
      </c>
      <c r="P57" s="21">
        <f t="shared" si="1"/>
        <v>281</v>
      </c>
      <c r="Q57" s="21">
        <f t="shared" si="1"/>
        <v>357</v>
      </c>
      <c r="R57" s="21">
        <f t="shared" si="1"/>
        <v>1117</v>
      </c>
      <c r="S57" s="21">
        <f t="shared" si="1"/>
        <v>0</v>
      </c>
      <c r="T57" s="21">
        <f t="shared" si="1"/>
        <v>0</v>
      </c>
      <c r="U57" s="21">
        <f t="shared" si="1"/>
        <v>296</v>
      </c>
      <c r="V57" s="3">
        <f t="shared" si="1"/>
        <v>8577</v>
      </c>
      <c r="W57" s="5"/>
    </row>
    <row r="58" spans="1:23" ht="11.25" customHeight="1" x14ac:dyDescent="0.15">
      <c r="A58" s="43"/>
      <c r="B58" s="49"/>
      <c r="C58" s="33"/>
      <c r="D58" s="24" t="s">
        <v>1</v>
      </c>
      <c r="E58" s="21">
        <v>1747</v>
      </c>
      <c r="F58" s="21">
        <v>27995</v>
      </c>
      <c r="G58" s="21">
        <v>46976</v>
      </c>
      <c r="H58" s="21">
        <v>42376</v>
      </c>
      <c r="I58" s="21">
        <v>216</v>
      </c>
      <c r="J58" s="21">
        <v>254</v>
      </c>
      <c r="K58" s="21">
        <v>1805</v>
      </c>
      <c r="L58" s="21">
        <v>48997</v>
      </c>
      <c r="M58" s="21">
        <v>25029</v>
      </c>
      <c r="N58" s="21">
        <v>32043</v>
      </c>
      <c r="O58" s="21">
        <v>13857</v>
      </c>
      <c r="P58" s="21">
        <v>260</v>
      </c>
      <c r="Q58" s="21">
        <v>357</v>
      </c>
      <c r="R58" s="21">
        <v>1031</v>
      </c>
      <c r="S58" s="21">
        <v>0</v>
      </c>
      <c r="T58" s="21">
        <v>0</v>
      </c>
      <c r="U58" s="21">
        <v>280</v>
      </c>
      <c r="V58" s="3">
        <v>8391</v>
      </c>
      <c r="W58" s="5"/>
    </row>
    <row r="59" spans="1:23" ht="11.25" customHeight="1" x14ac:dyDescent="0.15">
      <c r="A59" s="43"/>
      <c r="B59" s="50"/>
      <c r="C59" s="34"/>
      <c r="D59" s="25" t="s">
        <v>3</v>
      </c>
      <c r="E59" s="13">
        <v>102</v>
      </c>
      <c r="F59" s="13">
        <v>861</v>
      </c>
      <c r="G59" s="13">
        <v>2228</v>
      </c>
      <c r="H59" s="13">
        <v>1098</v>
      </c>
      <c r="I59" s="13">
        <v>19</v>
      </c>
      <c r="J59" s="13">
        <v>9</v>
      </c>
      <c r="K59" s="13">
        <v>366</v>
      </c>
      <c r="L59" s="13">
        <v>2370</v>
      </c>
      <c r="M59" s="13">
        <v>1171</v>
      </c>
      <c r="N59" s="13">
        <v>1080</v>
      </c>
      <c r="O59" s="13">
        <v>216</v>
      </c>
      <c r="P59" s="13">
        <v>21</v>
      </c>
      <c r="Q59" s="13">
        <v>0</v>
      </c>
      <c r="R59" s="13">
        <v>86</v>
      </c>
      <c r="S59" s="13">
        <v>0</v>
      </c>
      <c r="T59" s="13">
        <v>0</v>
      </c>
      <c r="U59" s="13">
        <v>16</v>
      </c>
      <c r="V59" s="26">
        <v>186</v>
      </c>
      <c r="W59" s="5"/>
    </row>
    <row r="60" spans="1:23" ht="11.25" customHeight="1" x14ac:dyDescent="0.15">
      <c r="A60" s="43"/>
      <c r="B60" s="48" t="s">
        <v>40</v>
      </c>
      <c r="C60" s="40" t="s">
        <v>38</v>
      </c>
      <c r="D60" s="41"/>
      <c r="E60" s="21">
        <v>2</v>
      </c>
      <c r="F60" s="21">
        <v>74</v>
      </c>
      <c r="G60" s="21">
        <v>220</v>
      </c>
      <c r="H60" s="21">
        <v>149</v>
      </c>
      <c r="I60" s="21">
        <v>0</v>
      </c>
      <c r="J60" s="21">
        <v>0</v>
      </c>
      <c r="K60" s="21">
        <v>8</v>
      </c>
      <c r="L60" s="21">
        <v>282</v>
      </c>
      <c r="M60" s="21">
        <v>344</v>
      </c>
      <c r="N60" s="21">
        <v>127</v>
      </c>
      <c r="O60" s="21">
        <v>137</v>
      </c>
      <c r="P60" s="21">
        <v>4</v>
      </c>
      <c r="Q60" s="21">
        <v>0</v>
      </c>
      <c r="R60" s="21">
        <v>5</v>
      </c>
      <c r="S60" s="21">
        <v>0</v>
      </c>
      <c r="T60" s="21">
        <v>0</v>
      </c>
      <c r="U60" s="21">
        <v>0</v>
      </c>
      <c r="V60" s="3">
        <v>7</v>
      </c>
      <c r="W60" s="5"/>
    </row>
    <row r="61" spans="1:23" ht="11.25" customHeight="1" x14ac:dyDescent="0.15">
      <c r="A61" s="43"/>
      <c r="B61" s="49"/>
      <c r="C61" s="42" t="s">
        <v>39</v>
      </c>
      <c r="D61" s="43"/>
      <c r="E61" s="21">
        <f>E62+E63</f>
        <v>1690</v>
      </c>
      <c r="F61" s="21">
        <f t="shared" ref="F61:V61" si="2">F62+F63</f>
        <v>19644</v>
      </c>
      <c r="G61" s="21">
        <f t="shared" si="2"/>
        <v>5610</v>
      </c>
      <c r="H61" s="21">
        <f t="shared" si="2"/>
        <v>6424</v>
      </c>
      <c r="I61" s="21">
        <f t="shared" si="2"/>
        <v>0</v>
      </c>
      <c r="J61" s="21">
        <f t="shared" si="2"/>
        <v>0</v>
      </c>
      <c r="K61" s="21">
        <f t="shared" si="2"/>
        <v>198</v>
      </c>
      <c r="L61" s="21">
        <f t="shared" si="2"/>
        <v>5816</v>
      </c>
      <c r="M61" s="21">
        <f t="shared" si="2"/>
        <v>10558</v>
      </c>
      <c r="N61" s="21">
        <f t="shared" si="2"/>
        <v>4263</v>
      </c>
      <c r="O61" s="21">
        <f t="shared" si="2"/>
        <v>6457</v>
      </c>
      <c r="P61" s="21">
        <f t="shared" si="2"/>
        <v>132</v>
      </c>
      <c r="Q61" s="21">
        <f t="shared" si="2"/>
        <v>0</v>
      </c>
      <c r="R61" s="21">
        <f t="shared" si="2"/>
        <v>108</v>
      </c>
      <c r="S61" s="21">
        <f t="shared" si="2"/>
        <v>0</v>
      </c>
      <c r="T61" s="21">
        <f t="shared" si="2"/>
        <v>0</v>
      </c>
      <c r="U61" s="21">
        <f t="shared" si="2"/>
        <v>0</v>
      </c>
      <c r="V61" s="3">
        <f t="shared" si="2"/>
        <v>216</v>
      </c>
      <c r="W61" s="5"/>
    </row>
    <row r="62" spans="1:23" ht="11.25" customHeight="1" x14ac:dyDescent="0.15">
      <c r="A62" s="43"/>
      <c r="B62" s="49"/>
      <c r="C62" s="33"/>
      <c r="D62" s="24" t="s">
        <v>1</v>
      </c>
      <c r="E62" s="21">
        <v>1690</v>
      </c>
      <c r="F62" s="21">
        <v>18878</v>
      </c>
      <c r="G62" s="21">
        <v>4919</v>
      </c>
      <c r="H62" s="21">
        <v>6252</v>
      </c>
      <c r="I62" s="21">
        <v>0</v>
      </c>
      <c r="J62" s="21">
        <v>0</v>
      </c>
      <c r="K62" s="21">
        <v>137</v>
      </c>
      <c r="L62" s="21">
        <v>5580</v>
      </c>
      <c r="M62" s="21">
        <v>10172</v>
      </c>
      <c r="N62" s="21">
        <v>4185</v>
      </c>
      <c r="O62" s="21">
        <v>5972</v>
      </c>
      <c r="P62" s="21">
        <v>127</v>
      </c>
      <c r="Q62" s="21">
        <v>0</v>
      </c>
      <c r="R62" s="21">
        <v>103</v>
      </c>
      <c r="S62" s="21">
        <v>0</v>
      </c>
      <c r="T62" s="21">
        <v>0</v>
      </c>
      <c r="U62" s="21">
        <v>0</v>
      </c>
      <c r="V62" s="3">
        <v>210</v>
      </c>
      <c r="W62" s="5"/>
    </row>
    <row r="63" spans="1:23" ht="11.25" customHeight="1" x14ac:dyDescent="0.15">
      <c r="A63" s="43"/>
      <c r="B63" s="50"/>
      <c r="C63" s="34"/>
      <c r="D63" s="25" t="s">
        <v>3</v>
      </c>
      <c r="E63" s="13">
        <v>0</v>
      </c>
      <c r="F63" s="13">
        <v>766</v>
      </c>
      <c r="G63" s="13">
        <v>691</v>
      </c>
      <c r="H63" s="13">
        <v>172</v>
      </c>
      <c r="I63" s="13">
        <v>0</v>
      </c>
      <c r="J63" s="13">
        <v>0</v>
      </c>
      <c r="K63" s="13">
        <v>61</v>
      </c>
      <c r="L63" s="13">
        <v>236</v>
      </c>
      <c r="M63" s="13">
        <v>386</v>
      </c>
      <c r="N63" s="13">
        <v>78</v>
      </c>
      <c r="O63" s="13">
        <v>485</v>
      </c>
      <c r="P63" s="13">
        <v>5</v>
      </c>
      <c r="Q63" s="13">
        <v>0</v>
      </c>
      <c r="R63" s="13">
        <v>5</v>
      </c>
      <c r="S63" s="13">
        <v>0</v>
      </c>
      <c r="T63" s="13">
        <v>0</v>
      </c>
      <c r="U63" s="13">
        <v>0</v>
      </c>
      <c r="V63" s="26">
        <v>6</v>
      </c>
      <c r="W63" s="5"/>
    </row>
    <row r="64" spans="1:23" ht="11.25" customHeight="1" x14ac:dyDescent="0.15">
      <c r="A64" s="37" t="s">
        <v>2</v>
      </c>
      <c r="B64" s="39" t="s">
        <v>49</v>
      </c>
      <c r="C64" s="40" t="s">
        <v>38</v>
      </c>
      <c r="D64" s="41"/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3" t="s">
        <v>42</v>
      </c>
      <c r="W64" s="5"/>
    </row>
    <row r="65" spans="1:23" ht="11.25" customHeight="1" x14ac:dyDescent="0.15">
      <c r="A65" s="37"/>
      <c r="B65" s="37"/>
      <c r="C65" s="42" t="s">
        <v>39</v>
      </c>
      <c r="D65" s="43"/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3">
        <v>0</v>
      </c>
      <c r="W65" s="5"/>
    </row>
    <row r="66" spans="1:23" ht="11.25" customHeight="1" x14ac:dyDescent="0.15">
      <c r="A66" s="37"/>
      <c r="B66" s="37"/>
      <c r="C66" s="33"/>
      <c r="D66" s="24" t="s">
        <v>1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3">
        <v>0</v>
      </c>
      <c r="W66" s="5"/>
    </row>
    <row r="67" spans="1:23" ht="11.25" customHeight="1" x14ac:dyDescent="0.15">
      <c r="A67" s="38"/>
      <c r="B67" s="38"/>
      <c r="C67" s="34"/>
      <c r="D67" s="31" t="s">
        <v>3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26">
        <v>0</v>
      </c>
      <c r="W67" s="5"/>
    </row>
    <row r="68" spans="1:23" ht="11.25" customHeight="1" x14ac:dyDescent="0.15">
      <c r="A68" s="39" t="s">
        <v>50</v>
      </c>
      <c r="B68" s="32" t="s">
        <v>35</v>
      </c>
      <c r="C68" s="44" t="s">
        <v>47</v>
      </c>
      <c r="D68" s="45"/>
      <c r="E68" s="21">
        <f>E70+E74</f>
        <v>20</v>
      </c>
      <c r="F68" s="21">
        <f t="shared" ref="F68:V69" si="3">F70+F74</f>
        <v>201</v>
      </c>
      <c r="G68" s="21">
        <f t="shared" si="3"/>
        <v>936</v>
      </c>
      <c r="H68" s="21">
        <f t="shared" si="3"/>
        <v>365</v>
      </c>
      <c r="I68" s="21">
        <f t="shared" si="3"/>
        <v>96</v>
      </c>
      <c r="J68" s="21">
        <f t="shared" si="3"/>
        <v>3</v>
      </c>
      <c r="K68" s="21">
        <f t="shared" si="3"/>
        <v>119</v>
      </c>
      <c r="L68" s="21">
        <f t="shared" si="3"/>
        <v>1335</v>
      </c>
      <c r="M68" s="21">
        <f t="shared" si="3"/>
        <v>730</v>
      </c>
      <c r="N68" s="21">
        <f t="shared" si="3"/>
        <v>340</v>
      </c>
      <c r="O68" s="21">
        <f t="shared" si="3"/>
        <v>213</v>
      </c>
      <c r="P68" s="21">
        <f t="shared" si="3"/>
        <v>12</v>
      </c>
      <c r="Q68" s="21">
        <f t="shared" si="3"/>
        <v>1</v>
      </c>
      <c r="R68" s="21">
        <f t="shared" si="3"/>
        <v>53</v>
      </c>
      <c r="S68" s="21">
        <f t="shared" si="3"/>
        <v>1</v>
      </c>
      <c r="T68" s="21">
        <f t="shared" si="3"/>
        <v>0</v>
      </c>
      <c r="U68" s="21">
        <f t="shared" si="3"/>
        <v>40</v>
      </c>
      <c r="V68" s="23">
        <f t="shared" si="3"/>
        <v>7</v>
      </c>
    </row>
    <row r="69" spans="1:23" ht="11.25" customHeight="1" x14ac:dyDescent="0.15">
      <c r="A69" s="37"/>
      <c r="B69" s="22" t="s">
        <v>36</v>
      </c>
      <c r="C69" s="46" t="s">
        <v>48</v>
      </c>
      <c r="D69" s="47"/>
      <c r="E69" s="21">
        <f>E71+E75</f>
        <v>3785</v>
      </c>
      <c r="F69" s="21">
        <f t="shared" si="3"/>
        <v>103506</v>
      </c>
      <c r="G69" s="21">
        <f t="shared" si="3"/>
        <v>66812</v>
      </c>
      <c r="H69" s="21">
        <f t="shared" si="3"/>
        <v>79672</v>
      </c>
      <c r="I69" s="21">
        <f t="shared" si="3"/>
        <v>613</v>
      </c>
      <c r="J69" s="21">
        <f t="shared" si="3"/>
        <v>253</v>
      </c>
      <c r="K69" s="21">
        <f t="shared" si="3"/>
        <v>3726</v>
      </c>
      <c r="L69" s="21">
        <f t="shared" si="3"/>
        <v>81069</v>
      </c>
      <c r="M69" s="21">
        <f t="shared" si="3"/>
        <v>51051</v>
      </c>
      <c r="N69" s="21">
        <f t="shared" si="3"/>
        <v>45977</v>
      </c>
      <c r="O69" s="21">
        <f t="shared" si="3"/>
        <v>32766</v>
      </c>
      <c r="P69" s="21">
        <f t="shared" si="3"/>
        <v>1695</v>
      </c>
      <c r="Q69" s="21">
        <f t="shared" si="3"/>
        <v>222</v>
      </c>
      <c r="R69" s="21">
        <f t="shared" si="3"/>
        <v>2705</v>
      </c>
      <c r="S69" s="21">
        <f t="shared" si="3"/>
        <v>8</v>
      </c>
      <c r="T69" s="21">
        <f t="shared" si="3"/>
        <v>0</v>
      </c>
      <c r="U69" s="21">
        <f t="shared" si="3"/>
        <v>412</v>
      </c>
      <c r="V69" s="3">
        <f t="shared" si="3"/>
        <v>1639</v>
      </c>
    </row>
    <row r="70" spans="1:23" ht="11.25" customHeight="1" x14ac:dyDescent="0.15">
      <c r="A70" s="43">
        <v>3</v>
      </c>
      <c r="B70" s="48" t="s">
        <v>37</v>
      </c>
      <c r="C70" s="40" t="s">
        <v>38</v>
      </c>
      <c r="D70" s="41"/>
      <c r="E70" s="12">
        <v>16</v>
      </c>
      <c r="F70" s="12">
        <v>77</v>
      </c>
      <c r="G70" s="12">
        <v>629</v>
      </c>
      <c r="H70" s="12">
        <v>136</v>
      </c>
      <c r="I70" s="12">
        <v>96</v>
      </c>
      <c r="J70" s="12">
        <v>3</v>
      </c>
      <c r="K70" s="12">
        <v>114</v>
      </c>
      <c r="L70" s="12">
        <v>966</v>
      </c>
      <c r="M70" s="12">
        <v>140</v>
      </c>
      <c r="N70" s="12">
        <v>119</v>
      </c>
      <c r="O70" s="12">
        <v>33</v>
      </c>
      <c r="P70" s="12">
        <v>8</v>
      </c>
      <c r="Q70" s="12">
        <v>1</v>
      </c>
      <c r="R70" s="12">
        <v>42</v>
      </c>
      <c r="S70" s="12">
        <v>1</v>
      </c>
      <c r="T70" s="12">
        <v>0</v>
      </c>
      <c r="U70" s="12">
        <v>40</v>
      </c>
      <c r="V70" s="23">
        <v>2</v>
      </c>
    </row>
    <row r="71" spans="1:23" ht="11.25" customHeight="1" x14ac:dyDescent="0.15">
      <c r="A71" s="43"/>
      <c r="B71" s="49"/>
      <c r="C71" s="42" t="s">
        <v>39</v>
      </c>
      <c r="D71" s="43"/>
      <c r="E71" s="21">
        <f>E72+E73</f>
        <v>2853</v>
      </c>
      <c r="F71" s="21">
        <f t="shared" ref="F71:V71" si="4">F72+F73</f>
        <v>68474</v>
      </c>
      <c r="G71" s="21">
        <f t="shared" si="4"/>
        <v>60344</v>
      </c>
      <c r="H71" s="21">
        <f t="shared" si="4"/>
        <v>64044</v>
      </c>
      <c r="I71" s="21">
        <f t="shared" si="4"/>
        <v>613</v>
      </c>
      <c r="J71" s="21">
        <f t="shared" si="4"/>
        <v>253</v>
      </c>
      <c r="K71" s="21">
        <f t="shared" si="4"/>
        <v>3658</v>
      </c>
      <c r="L71" s="21">
        <f t="shared" si="4"/>
        <v>73485</v>
      </c>
      <c r="M71" s="21">
        <f t="shared" si="4"/>
        <v>31310</v>
      </c>
      <c r="N71" s="21">
        <f t="shared" si="4"/>
        <v>37969</v>
      </c>
      <c r="O71" s="21">
        <f t="shared" si="4"/>
        <v>23151</v>
      </c>
      <c r="P71" s="21">
        <f t="shared" si="4"/>
        <v>1547</v>
      </c>
      <c r="Q71" s="21">
        <f t="shared" si="4"/>
        <v>222</v>
      </c>
      <c r="R71" s="21">
        <f t="shared" si="4"/>
        <v>2319</v>
      </c>
      <c r="S71" s="21">
        <f t="shared" si="4"/>
        <v>8</v>
      </c>
      <c r="T71" s="21">
        <f t="shared" si="4"/>
        <v>0</v>
      </c>
      <c r="U71" s="21">
        <f t="shared" si="4"/>
        <v>412</v>
      </c>
      <c r="V71" s="3">
        <f t="shared" si="4"/>
        <v>1215</v>
      </c>
    </row>
    <row r="72" spans="1:23" ht="11.25" customHeight="1" x14ac:dyDescent="0.15">
      <c r="A72" s="43"/>
      <c r="B72" s="49"/>
      <c r="C72" s="33"/>
      <c r="D72" s="24" t="s">
        <v>1</v>
      </c>
      <c r="E72" s="21">
        <v>2638</v>
      </c>
      <c r="F72" s="21">
        <v>67014</v>
      </c>
      <c r="G72" s="21">
        <v>57771</v>
      </c>
      <c r="H72" s="21">
        <v>62517</v>
      </c>
      <c r="I72" s="21">
        <v>512</v>
      </c>
      <c r="J72" s="21">
        <v>253</v>
      </c>
      <c r="K72" s="21">
        <v>3148</v>
      </c>
      <c r="L72" s="21">
        <v>68783</v>
      </c>
      <c r="M72" s="21">
        <v>29960</v>
      </c>
      <c r="N72" s="21">
        <v>36321</v>
      </c>
      <c r="O72" s="21">
        <v>22863</v>
      </c>
      <c r="P72" s="21">
        <v>1460</v>
      </c>
      <c r="Q72" s="21">
        <v>222</v>
      </c>
      <c r="R72" s="21">
        <v>2237</v>
      </c>
      <c r="S72" s="21">
        <v>8</v>
      </c>
      <c r="T72" s="21">
        <v>0</v>
      </c>
      <c r="U72" s="21">
        <v>376</v>
      </c>
      <c r="V72" s="3">
        <v>1172</v>
      </c>
    </row>
    <row r="73" spans="1:23" ht="11.25" customHeight="1" x14ac:dyDescent="0.15">
      <c r="A73" s="43"/>
      <c r="B73" s="50"/>
      <c r="C73" s="34"/>
      <c r="D73" s="25" t="s">
        <v>3</v>
      </c>
      <c r="E73" s="13">
        <v>215</v>
      </c>
      <c r="F73" s="13">
        <v>1460</v>
      </c>
      <c r="G73" s="13">
        <v>2573</v>
      </c>
      <c r="H73" s="13">
        <v>1527</v>
      </c>
      <c r="I73" s="13">
        <v>101</v>
      </c>
      <c r="J73" s="13">
        <v>0</v>
      </c>
      <c r="K73" s="13">
        <v>510</v>
      </c>
      <c r="L73" s="13">
        <v>4702</v>
      </c>
      <c r="M73" s="13">
        <v>1350</v>
      </c>
      <c r="N73" s="13">
        <v>1648</v>
      </c>
      <c r="O73" s="13">
        <v>288</v>
      </c>
      <c r="P73" s="13">
        <v>87</v>
      </c>
      <c r="Q73" s="13">
        <v>0</v>
      </c>
      <c r="R73" s="13">
        <v>82</v>
      </c>
      <c r="S73" s="13">
        <v>0</v>
      </c>
      <c r="T73" s="13">
        <v>0</v>
      </c>
      <c r="U73" s="13">
        <v>36</v>
      </c>
      <c r="V73" s="26">
        <v>43</v>
      </c>
    </row>
    <row r="74" spans="1:23" ht="11.25" customHeight="1" x14ac:dyDescent="0.15">
      <c r="A74" s="43"/>
      <c r="B74" s="48" t="s">
        <v>40</v>
      </c>
      <c r="C74" s="40" t="s">
        <v>38</v>
      </c>
      <c r="D74" s="41"/>
      <c r="E74" s="21">
        <v>4</v>
      </c>
      <c r="F74" s="21">
        <v>124</v>
      </c>
      <c r="G74" s="21">
        <v>307</v>
      </c>
      <c r="H74" s="21">
        <v>229</v>
      </c>
      <c r="I74" s="21">
        <v>0</v>
      </c>
      <c r="J74" s="21">
        <v>0</v>
      </c>
      <c r="K74" s="21">
        <v>5</v>
      </c>
      <c r="L74" s="21">
        <v>369</v>
      </c>
      <c r="M74" s="21">
        <v>590</v>
      </c>
      <c r="N74" s="21">
        <v>221</v>
      </c>
      <c r="O74" s="21">
        <v>180</v>
      </c>
      <c r="P74" s="21">
        <v>4</v>
      </c>
      <c r="Q74" s="21">
        <v>0</v>
      </c>
      <c r="R74" s="21">
        <v>11</v>
      </c>
      <c r="S74" s="21">
        <v>0</v>
      </c>
      <c r="T74" s="21">
        <v>0</v>
      </c>
      <c r="U74" s="21">
        <v>0</v>
      </c>
      <c r="V74" s="3">
        <v>5</v>
      </c>
    </row>
    <row r="75" spans="1:23" ht="11.25" customHeight="1" x14ac:dyDescent="0.15">
      <c r="A75" s="43"/>
      <c r="B75" s="49"/>
      <c r="C75" s="42" t="s">
        <v>39</v>
      </c>
      <c r="D75" s="43"/>
      <c r="E75" s="21">
        <f>E76+E77</f>
        <v>932</v>
      </c>
      <c r="F75" s="21">
        <f t="shared" ref="F75:V75" si="5">F76+F77</f>
        <v>35032</v>
      </c>
      <c r="G75" s="21">
        <f t="shared" si="5"/>
        <v>6468</v>
      </c>
      <c r="H75" s="21">
        <f t="shared" si="5"/>
        <v>15628</v>
      </c>
      <c r="I75" s="21">
        <f t="shared" si="5"/>
        <v>0</v>
      </c>
      <c r="J75" s="21">
        <f t="shared" si="5"/>
        <v>0</v>
      </c>
      <c r="K75" s="21">
        <f t="shared" si="5"/>
        <v>68</v>
      </c>
      <c r="L75" s="21">
        <f t="shared" si="5"/>
        <v>7584</v>
      </c>
      <c r="M75" s="21">
        <f t="shared" si="5"/>
        <v>19741</v>
      </c>
      <c r="N75" s="21">
        <f t="shared" si="5"/>
        <v>8008</v>
      </c>
      <c r="O75" s="21">
        <f t="shared" si="5"/>
        <v>9615</v>
      </c>
      <c r="P75" s="21">
        <f t="shared" si="5"/>
        <v>148</v>
      </c>
      <c r="Q75" s="21">
        <f t="shared" si="5"/>
        <v>0</v>
      </c>
      <c r="R75" s="21">
        <f t="shared" si="5"/>
        <v>386</v>
      </c>
      <c r="S75" s="21">
        <f t="shared" si="5"/>
        <v>0</v>
      </c>
      <c r="T75" s="21">
        <f t="shared" si="5"/>
        <v>0</v>
      </c>
      <c r="U75" s="21">
        <f t="shared" si="5"/>
        <v>0</v>
      </c>
      <c r="V75" s="3">
        <f t="shared" si="5"/>
        <v>424</v>
      </c>
    </row>
    <row r="76" spans="1:23" ht="11.25" customHeight="1" x14ac:dyDescent="0.15">
      <c r="A76" s="43"/>
      <c r="B76" s="49"/>
      <c r="C76" s="33"/>
      <c r="D76" s="24" t="s">
        <v>1</v>
      </c>
      <c r="E76" s="21">
        <v>890</v>
      </c>
      <c r="F76" s="21">
        <v>33724</v>
      </c>
      <c r="G76" s="21">
        <v>6242</v>
      </c>
      <c r="H76" s="21">
        <v>15197</v>
      </c>
      <c r="I76" s="21">
        <v>0</v>
      </c>
      <c r="J76" s="21">
        <v>0</v>
      </c>
      <c r="K76" s="21">
        <v>57</v>
      </c>
      <c r="L76" s="21">
        <v>7304</v>
      </c>
      <c r="M76" s="21">
        <v>19202</v>
      </c>
      <c r="N76" s="21">
        <v>7694</v>
      </c>
      <c r="O76" s="21">
        <v>9459</v>
      </c>
      <c r="P76" s="21">
        <v>133</v>
      </c>
      <c r="Q76" s="21">
        <v>0</v>
      </c>
      <c r="R76" s="21">
        <v>364</v>
      </c>
      <c r="S76" s="21">
        <v>0</v>
      </c>
      <c r="T76" s="21">
        <v>0</v>
      </c>
      <c r="U76" s="21">
        <v>0</v>
      </c>
      <c r="V76" s="3">
        <v>336</v>
      </c>
    </row>
    <row r="77" spans="1:23" ht="11.25" customHeight="1" x14ac:dyDescent="0.15">
      <c r="A77" s="43"/>
      <c r="B77" s="50"/>
      <c r="C77" s="34"/>
      <c r="D77" s="25" t="s">
        <v>3</v>
      </c>
      <c r="E77" s="13">
        <v>42</v>
      </c>
      <c r="F77" s="13">
        <v>1308</v>
      </c>
      <c r="G77" s="13">
        <v>226</v>
      </c>
      <c r="H77" s="13">
        <v>431</v>
      </c>
      <c r="I77" s="13">
        <v>0</v>
      </c>
      <c r="J77" s="13">
        <v>0</v>
      </c>
      <c r="K77" s="13">
        <v>11</v>
      </c>
      <c r="L77" s="13">
        <v>280</v>
      </c>
      <c r="M77" s="13">
        <v>539</v>
      </c>
      <c r="N77" s="13">
        <v>314</v>
      </c>
      <c r="O77" s="13">
        <v>156</v>
      </c>
      <c r="P77" s="13">
        <v>15</v>
      </c>
      <c r="Q77" s="13">
        <v>0</v>
      </c>
      <c r="R77" s="13">
        <v>22</v>
      </c>
      <c r="S77" s="13">
        <v>0</v>
      </c>
      <c r="T77" s="13">
        <v>0</v>
      </c>
      <c r="U77" s="13">
        <v>0</v>
      </c>
      <c r="V77" s="26">
        <v>88</v>
      </c>
    </row>
    <row r="78" spans="1:23" ht="11.25" customHeight="1" x14ac:dyDescent="0.15">
      <c r="A78" s="37" t="s">
        <v>2</v>
      </c>
      <c r="B78" s="39" t="s">
        <v>49</v>
      </c>
      <c r="C78" s="40" t="s">
        <v>38</v>
      </c>
      <c r="D78" s="41"/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3" t="s">
        <v>42</v>
      </c>
    </row>
    <row r="79" spans="1:23" ht="11.25" customHeight="1" x14ac:dyDescent="0.15">
      <c r="A79" s="37"/>
      <c r="B79" s="37"/>
      <c r="C79" s="42" t="s">
        <v>39</v>
      </c>
      <c r="D79" s="43"/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3">
        <v>0</v>
      </c>
    </row>
    <row r="80" spans="1:23" ht="11.25" customHeight="1" x14ac:dyDescent="0.15">
      <c r="A80" s="37"/>
      <c r="B80" s="37"/>
      <c r="C80" s="33"/>
      <c r="D80" s="24" t="s">
        <v>1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3">
        <v>0</v>
      </c>
    </row>
    <row r="81" spans="1:22" ht="11.25" customHeight="1" x14ac:dyDescent="0.15">
      <c r="A81" s="38"/>
      <c r="B81" s="38"/>
      <c r="C81" s="34"/>
      <c r="D81" s="31" t="s">
        <v>3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6">
        <v>0</v>
      </c>
    </row>
    <row r="82" spans="1:22" ht="11.25" customHeight="1" x14ac:dyDescent="0.15">
      <c r="A82" s="39" t="s">
        <v>50</v>
      </c>
      <c r="B82" s="32" t="s">
        <v>35</v>
      </c>
      <c r="C82" s="44" t="s">
        <v>47</v>
      </c>
      <c r="D82" s="45"/>
      <c r="E82" s="21">
        <f>E84+E88</f>
        <v>18</v>
      </c>
      <c r="F82" s="21">
        <f t="shared" ref="F82:V83" si="6">F84+F88</f>
        <v>182</v>
      </c>
      <c r="G82" s="21">
        <f t="shared" si="6"/>
        <v>995</v>
      </c>
      <c r="H82" s="21">
        <f t="shared" si="6"/>
        <v>386</v>
      </c>
      <c r="I82" s="21">
        <f t="shared" si="6"/>
        <v>113</v>
      </c>
      <c r="J82" s="21">
        <f t="shared" si="6"/>
        <v>5</v>
      </c>
      <c r="K82" s="21">
        <f t="shared" si="6"/>
        <v>130</v>
      </c>
      <c r="L82" s="21">
        <f t="shared" si="6"/>
        <v>1463</v>
      </c>
      <c r="M82" s="21">
        <f t="shared" si="6"/>
        <v>821</v>
      </c>
      <c r="N82" s="21">
        <f t="shared" si="6"/>
        <v>314</v>
      </c>
      <c r="O82" s="21">
        <f t="shared" si="6"/>
        <v>197</v>
      </c>
      <c r="P82" s="21">
        <f t="shared" si="6"/>
        <v>28</v>
      </c>
      <c r="Q82" s="21">
        <f t="shared" si="6"/>
        <v>5</v>
      </c>
      <c r="R82" s="21">
        <f t="shared" si="6"/>
        <v>82</v>
      </c>
      <c r="S82" s="21">
        <f t="shared" si="6"/>
        <v>0</v>
      </c>
      <c r="T82" s="21">
        <f t="shared" si="6"/>
        <v>0</v>
      </c>
      <c r="U82" s="21">
        <f t="shared" si="6"/>
        <v>42</v>
      </c>
      <c r="V82" s="23">
        <f t="shared" si="6"/>
        <v>30</v>
      </c>
    </row>
    <row r="83" spans="1:22" ht="11.25" customHeight="1" x14ac:dyDescent="0.15">
      <c r="A83" s="37"/>
      <c r="B83" s="22" t="s">
        <v>36</v>
      </c>
      <c r="C83" s="46" t="s">
        <v>48</v>
      </c>
      <c r="D83" s="47"/>
      <c r="E83" s="21">
        <f>E85+E89</f>
        <v>5008</v>
      </c>
      <c r="F83" s="21">
        <f t="shared" si="6"/>
        <v>102905</v>
      </c>
      <c r="G83" s="21">
        <f t="shared" si="6"/>
        <v>69758</v>
      </c>
      <c r="H83" s="21">
        <f t="shared" si="6"/>
        <v>104553</v>
      </c>
      <c r="I83" s="21">
        <f t="shared" si="6"/>
        <v>780</v>
      </c>
      <c r="J83" s="21">
        <f t="shared" si="6"/>
        <v>436</v>
      </c>
      <c r="K83" s="21">
        <f t="shared" si="6"/>
        <v>4299</v>
      </c>
      <c r="L83" s="21">
        <f t="shared" si="6"/>
        <v>90912</v>
      </c>
      <c r="M83" s="21">
        <f t="shared" si="6"/>
        <v>64635</v>
      </c>
      <c r="N83" s="21">
        <f t="shared" si="6"/>
        <v>45295</v>
      </c>
      <c r="O83" s="21">
        <f t="shared" si="6"/>
        <v>28128</v>
      </c>
      <c r="P83" s="21">
        <f t="shared" si="6"/>
        <v>4422</v>
      </c>
      <c r="Q83" s="21">
        <f t="shared" si="6"/>
        <v>501</v>
      </c>
      <c r="R83" s="21">
        <f t="shared" si="6"/>
        <v>11855</v>
      </c>
      <c r="S83" s="21">
        <f t="shared" si="6"/>
        <v>0</v>
      </c>
      <c r="T83" s="21">
        <f t="shared" si="6"/>
        <v>0</v>
      </c>
      <c r="U83" s="21">
        <f t="shared" si="6"/>
        <v>468</v>
      </c>
      <c r="V83" s="3">
        <f t="shared" si="6"/>
        <v>10734</v>
      </c>
    </row>
    <row r="84" spans="1:22" ht="11.25" customHeight="1" x14ac:dyDescent="0.15">
      <c r="A84" s="43">
        <v>4</v>
      </c>
      <c r="B84" s="48" t="s">
        <v>37</v>
      </c>
      <c r="C84" s="40" t="s">
        <v>38</v>
      </c>
      <c r="D84" s="41"/>
      <c r="E84" s="12">
        <f>6+5</f>
        <v>11</v>
      </c>
      <c r="F84" s="12">
        <f>47+31</f>
        <v>78</v>
      </c>
      <c r="G84" s="12">
        <f>480+198</f>
        <v>678</v>
      </c>
      <c r="H84" s="12">
        <f>115+43</f>
        <v>158</v>
      </c>
      <c r="I84" s="12">
        <f>55+57</f>
        <v>112</v>
      </c>
      <c r="J84" s="12">
        <f>4+1</f>
        <v>5</v>
      </c>
      <c r="K84" s="12">
        <f>62+61</f>
        <v>123</v>
      </c>
      <c r="L84" s="12">
        <f>704+315</f>
        <v>1019</v>
      </c>
      <c r="M84" s="12">
        <f>121+80</f>
        <v>201</v>
      </c>
      <c r="N84" s="12">
        <f>69+39</f>
        <v>108</v>
      </c>
      <c r="O84" s="12">
        <f>12+7</f>
        <v>19</v>
      </c>
      <c r="P84" s="12">
        <f>13+5</f>
        <v>18</v>
      </c>
      <c r="Q84" s="12">
        <f>2</f>
        <v>2</v>
      </c>
      <c r="R84" s="12">
        <f>46+24</f>
        <v>70</v>
      </c>
      <c r="S84" s="12">
        <v>0</v>
      </c>
      <c r="T84" s="12">
        <v>0</v>
      </c>
      <c r="U84" s="12">
        <f>32+9</f>
        <v>41</v>
      </c>
      <c r="V84" s="23">
        <f>11+4</f>
        <v>15</v>
      </c>
    </row>
    <row r="85" spans="1:22" ht="11.25" customHeight="1" x14ac:dyDescent="0.15">
      <c r="A85" s="43"/>
      <c r="B85" s="49"/>
      <c r="C85" s="42" t="s">
        <v>39</v>
      </c>
      <c r="D85" s="43"/>
      <c r="E85" s="21">
        <f>E86+E87</f>
        <v>2288</v>
      </c>
      <c r="F85" s="21">
        <f t="shared" ref="F85:V85" si="7">F86+F87</f>
        <v>62817</v>
      </c>
      <c r="G85" s="21">
        <f t="shared" si="7"/>
        <v>63208</v>
      </c>
      <c r="H85" s="21">
        <f t="shared" si="7"/>
        <v>89370</v>
      </c>
      <c r="I85" s="21">
        <f t="shared" si="7"/>
        <v>779</v>
      </c>
      <c r="J85" s="21">
        <f t="shared" si="7"/>
        <v>436</v>
      </c>
      <c r="K85" s="21">
        <f>K86+K87</f>
        <v>4173</v>
      </c>
      <c r="L85" s="21">
        <f t="shared" si="7"/>
        <v>81004</v>
      </c>
      <c r="M85" s="21">
        <f t="shared" si="7"/>
        <v>44250</v>
      </c>
      <c r="N85" s="21">
        <f t="shared" si="7"/>
        <v>36517</v>
      </c>
      <c r="O85" s="21">
        <f t="shared" si="7"/>
        <v>17730</v>
      </c>
      <c r="P85" s="21">
        <f t="shared" si="7"/>
        <v>3950</v>
      </c>
      <c r="Q85" s="21">
        <f t="shared" si="7"/>
        <v>431</v>
      </c>
      <c r="R85" s="21">
        <f t="shared" si="7"/>
        <v>10933</v>
      </c>
      <c r="S85" s="21">
        <f t="shared" si="7"/>
        <v>0</v>
      </c>
      <c r="T85" s="21">
        <f t="shared" si="7"/>
        <v>0</v>
      </c>
      <c r="U85" s="21">
        <f t="shared" si="7"/>
        <v>465</v>
      </c>
      <c r="V85" s="3">
        <f t="shared" si="7"/>
        <v>10222</v>
      </c>
    </row>
    <row r="86" spans="1:22" ht="11.25" customHeight="1" x14ac:dyDescent="0.15">
      <c r="A86" s="43"/>
      <c r="B86" s="49"/>
      <c r="C86" s="33"/>
      <c r="D86" s="24" t="s">
        <v>1</v>
      </c>
      <c r="E86" s="21">
        <f>1039+1100</f>
        <v>2139</v>
      </c>
      <c r="F86" s="21">
        <f>34988+26562</f>
        <v>61550</v>
      </c>
      <c r="G86" s="21">
        <f>38871+16703</f>
        <v>55574</v>
      </c>
      <c r="H86" s="21">
        <f>59343+28368</f>
        <v>87711</v>
      </c>
      <c r="I86" s="21">
        <f>285+318</f>
        <v>603</v>
      </c>
      <c r="J86" s="21">
        <f>332+87</f>
        <v>419</v>
      </c>
      <c r="K86" s="21">
        <f>1813+1575</f>
        <v>3388</v>
      </c>
      <c r="L86" s="21">
        <f>52993+23237</f>
        <v>76230</v>
      </c>
      <c r="M86" s="21">
        <f>24419+17917</f>
        <v>42336</v>
      </c>
      <c r="N86" s="21">
        <f>22647+12270</f>
        <v>34917</v>
      </c>
      <c r="O86" s="21">
        <f>10330+7139</f>
        <v>17469</v>
      </c>
      <c r="P86" s="21">
        <f>3086+742</f>
        <v>3828</v>
      </c>
      <c r="Q86" s="21">
        <f>388</f>
        <v>388</v>
      </c>
      <c r="R86" s="21">
        <f>4685+5639</f>
        <v>10324</v>
      </c>
      <c r="S86" s="21">
        <v>0</v>
      </c>
      <c r="T86" s="21">
        <v>0</v>
      </c>
      <c r="U86" s="21">
        <f>306+111</f>
        <v>417</v>
      </c>
      <c r="V86" s="3">
        <f>7535+2501</f>
        <v>10036</v>
      </c>
    </row>
    <row r="87" spans="1:22" ht="11.25" customHeight="1" x14ac:dyDescent="0.15">
      <c r="A87" s="43"/>
      <c r="B87" s="50"/>
      <c r="C87" s="34"/>
      <c r="D87" s="25" t="s">
        <v>3</v>
      </c>
      <c r="E87" s="13">
        <f>42+107</f>
        <v>149</v>
      </c>
      <c r="F87" s="13">
        <f>739+528</f>
        <v>1267</v>
      </c>
      <c r="G87" s="13">
        <f>7044+590</f>
        <v>7634</v>
      </c>
      <c r="H87" s="13">
        <f>1357+302</f>
        <v>1659</v>
      </c>
      <c r="I87" s="13">
        <f>53+123</f>
        <v>176</v>
      </c>
      <c r="J87" s="13">
        <f>17</f>
        <v>17</v>
      </c>
      <c r="K87" s="13">
        <f>245+540</f>
        <v>785</v>
      </c>
      <c r="L87" s="13">
        <f>2425+2349</f>
        <v>4774</v>
      </c>
      <c r="M87" s="13">
        <f>1130+784</f>
        <v>1914</v>
      </c>
      <c r="N87" s="13">
        <f>889+711</f>
        <v>1600</v>
      </c>
      <c r="O87" s="13">
        <f>152+109</f>
        <v>261</v>
      </c>
      <c r="P87" s="13">
        <f>82+40</f>
        <v>122</v>
      </c>
      <c r="Q87" s="13">
        <f>43</f>
        <v>43</v>
      </c>
      <c r="R87" s="13">
        <f>230+379</f>
        <v>609</v>
      </c>
      <c r="S87" s="13">
        <v>0</v>
      </c>
      <c r="T87" s="13">
        <v>0</v>
      </c>
      <c r="U87" s="13">
        <f>42+6</f>
        <v>48</v>
      </c>
      <c r="V87" s="26">
        <f>112+74</f>
        <v>186</v>
      </c>
    </row>
    <row r="88" spans="1:22" ht="11.25" customHeight="1" x14ac:dyDescent="0.15">
      <c r="A88" s="43"/>
      <c r="B88" s="48" t="s">
        <v>40</v>
      </c>
      <c r="C88" s="40" t="s">
        <v>38</v>
      </c>
      <c r="D88" s="41"/>
      <c r="E88" s="21">
        <f>6+1</f>
        <v>7</v>
      </c>
      <c r="F88" s="21">
        <f>56+48</f>
        <v>104</v>
      </c>
      <c r="G88" s="21">
        <f>221+96</f>
        <v>317</v>
      </c>
      <c r="H88" s="21">
        <f>132+96</f>
        <v>228</v>
      </c>
      <c r="I88" s="21">
        <v>1</v>
      </c>
      <c r="J88" s="21">
        <v>0</v>
      </c>
      <c r="K88" s="21">
        <f>3+4</f>
        <v>7</v>
      </c>
      <c r="L88" s="21">
        <f>310+134</f>
        <v>444</v>
      </c>
      <c r="M88" s="21">
        <f>354+266</f>
        <v>620</v>
      </c>
      <c r="N88" s="21">
        <f>127+79</f>
        <v>206</v>
      </c>
      <c r="O88" s="21">
        <f>107+71</f>
        <v>178</v>
      </c>
      <c r="P88" s="21">
        <f>6+4</f>
        <v>10</v>
      </c>
      <c r="Q88" s="21">
        <f>3</f>
        <v>3</v>
      </c>
      <c r="R88" s="21">
        <f>11+1</f>
        <v>12</v>
      </c>
      <c r="S88" s="21">
        <v>0</v>
      </c>
      <c r="T88" s="21">
        <v>0</v>
      </c>
      <c r="U88" s="21">
        <f>1</f>
        <v>1</v>
      </c>
      <c r="V88" s="3">
        <f>4+11</f>
        <v>15</v>
      </c>
    </row>
    <row r="89" spans="1:22" ht="11.25" customHeight="1" x14ac:dyDescent="0.15">
      <c r="A89" s="43"/>
      <c r="B89" s="49"/>
      <c r="C89" s="42" t="s">
        <v>39</v>
      </c>
      <c r="D89" s="43"/>
      <c r="E89" s="21">
        <f>E90+E91</f>
        <v>2720</v>
      </c>
      <c r="F89" s="21">
        <f t="shared" ref="F89:V89" si="8">F90+F91</f>
        <v>40088</v>
      </c>
      <c r="G89" s="21">
        <f t="shared" si="8"/>
        <v>6550</v>
      </c>
      <c r="H89" s="21">
        <f t="shared" si="8"/>
        <v>15183</v>
      </c>
      <c r="I89" s="21">
        <f t="shared" si="8"/>
        <v>1</v>
      </c>
      <c r="J89" s="21">
        <f t="shared" si="8"/>
        <v>0</v>
      </c>
      <c r="K89" s="21">
        <f t="shared" si="8"/>
        <v>126</v>
      </c>
      <c r="L89" s="21">
        <f t="shared" si="8"/>
        <v>9908</v>
      </c>
      <c r="M89" s="21">
        <f t="shared" si="8"/>
        <v>20385</v>
      </c>
      <c r="N89" s="21">
        <f t="shared" si="8"/>
        <v>8778</v>
      </c>
      <c r="O89" s="21">
        <f t="shared" si="8"/>
        <v>10398</v>
      </c>
      <c r="P89" s="21">
        <f t="shared" si="8"/>
        <v>472</v>
      </c>
      <c r="Q89" s="21">
        <f t="shared" si="8"/>
        <v>70</v>
      </c>
      <c r="R89" s="21">
        <f t="shared" si="8"/>
        <v>922</v>
      </c>
      <c r="S89" s="21">
        <f t="shared" si="8"/>
        <v>0</v>
      </c>
      <c r="T89" s="21">
        <f t="shared" si="8"/>
        <v>0</v>
      </c>
      <c r="U89" s="21">
        <f t="shared" si="8"/>
        <v>3</v>
      </c>
      <c r="V89" s="3">
        <f t="shared" si="8"/>
        <v>512</v>
      </c>
    </row>
    <row r="90" spans="1:22" ht="11.25" customHeight="1" x14ac:dyDescent="0.15">
      <c r="A90" s="43"/>
      <c r="B90" s="49"/>
      <c r="C90" s="33"/>
      <c r="D90" s="24" t="s">
        <v>1</v>
      </c>
      <c r="E90" s="21">
        <f>2564+46</f>
        <v>2610</v>
      </c>
      <c r="F90" s="21">
        <f>17980+20976</f>
        <v>38956</v>
      </c>
      <c r="G90" s="21">
        <f>4292+2075</f>
        <v>6367</v>
      </c>
      <c r="H90" s="21">
        <f>7954+6884</f>
        <v>14838</v>
      </c>
      <c r="I90" s="21">
        <v>1</v>
      </c>
      <c r="J90" s="21">
        <v>0</v>
      </c>
      <c r="K90" s="21">
        <f>42+65</f>
        <v>107</v>
      </c>
      <c r="L90" s="21">
        <f>6384+3035</f>
        <v>9419</v>
      </c>
      <c r="M90" s="21">
        <f>10852+8914</f>
        <v>19766</v>
      </c>
      <c r="N90" s="21">
        <f>6443+2120</f>
        <v>8563</v>
      </c>
      <c r="O90" s="21">
        <f>6424+3879</f>
        <v>10303</v>
      </c>
      <c r="P90" s="21">
        <f>202+262</f>
        <v>464</v>
      </c>
      <c r="Q90" s="21">
        <f>66</f>
        <v>66</v>
      </c>
      <c r="R90" s="21">
        <f>833+8</f>
        <v>841</v>
      </c>
      <c r="S90" s="21">
        <v>0</v>
      </c>
      <c r="T90" s="21">
        <v>0</v>
      </c>
      <c r="U90" s="21">
        <f>3</f>
        <v>3</v>
      </c>
      <c r="V90" s="3">
        <f>58+415</f>
        <v>473</v>
      </c>
    </row>
    <row r="91" spans="1:22" ht="11.25" customHeight="1" x14ac:dyDescent="0.15">
      <c r="A91" s="43"/>
      <c r="B91" s="50"/>
      <c r="C91" s="34"/>
      <c r="D91" s="25" t="s">
        <v>3</v>
      </c>
      <c r="E91" s="13">
        <f>110+0</f>
        <v>110</v>
      </c>
      <c r="F91" s="13">
        <f>674+458</f>
        <v>1132</v>
      </c>
      <c r="G91" s="13">
        <f>117+66</f>
        <v>183</v>
      </c>
      <c r="H91" s="13">
        <f>174+171</f>
        <v>345</v>
      </c>
      <c r="I91" s="13">
        <v>0</v>
      </c>
      <c r="J91" s="13">
        <v>0</v>
      </c>
      <c r="K91" s="13">
        <f>4+15</f>
        <v>19</v>
      </c>
      <c r="L91" s="13">
        <f>337+152</f>
        <v>489</v>
      </c>
      <c r="M91" s="13">
        <f>304+315</f>
        <v>619</v>
      </c>
      <c r="N91" s="13">
        <f>156+59</f>
        <v>215</v>
      </c>
      <c r="O91" s="13">
        <f>51+44</f>
        <v>95</v>
      </c>
      <c r="P91" s="13">
        <f>6+2</f>
        <v>8</v>
      </c>
      <c r="Q91" s="13">
        <f>4</f>
        <v>4</v>
      </c>
      <c r="R91" s="13">
        <f>81</f>
        <v>81</v>
      </c>
      <c r="S91" s="13">
        <v>0</v>
      </c>
      <c r="T91" s="13">
        <v>0</v>
      </c>
      <c r="U91" s="13">
        <v>0</v>
      </c>
      <c r="V91" s="26">
        <f>2+37</f>
        <v>39</v>
      </c>
    </row>
    <row r="92" spans="1:22" ht="11.25" customHeight="1" x14ac:dyDescent="0.15">
      <c r="A92" s="37" t="s">
        <v>2</v>
      </c>
      <c r="B92" s="39" t="s">
        <v>49</v>
      </c>
      <c r="C92" s="40" t="s">
        <v>38</v>
      </c>
      <c r="D92" s="41"/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3" t="s">
        <v>42</v>
      </c>
    </row>
    <row r="93" spans="1:22" ht="11.25" customHeight="1" x14ac:dyDescent="0.15">
      <c r="A93" s="37"/>
      <c r="B93" s="37"/>
      <c r="C93" s="42" t="s">
        <v>39</v>
      </c>
      <c r="D93" s="43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3">
        <v>0</v>
      </c>
    </row>
    <row r="94" spans="1:22" ht="11.25" customHeight="1" x14ac:dyDescent="0.15">
      <c r="A94" s="37"/>
      <c r="B94" s="37"/>
      <c r="C94" s="33"/>
      <c r="D94" s="24" t="s">
        <v>1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3">
        <v>0</v>
      </c>
    </row>
    <row r="95" spans="1:22" ht="11.25" customHeight="1" x14ac:dyDescent="0.15">
      <c r="A95" s="38"/>
      <c r="B95" s="38"/>
      <c r="C95" s="34"/>
      <c r="D95" s="31" t="s">
        <v>3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6">
        <v>0</v>
      </c>
    </row>
    <row r="96" spans="1:22" ht="11.25" customHeight="1" x14ac:dyDescent="0.15">
      <c r="A96" s="39" t="s">
        <v>50</v>
      </c>
      <c r="B96" s="32" t="s">
        <v>35</v>
      </c>
      <c r="C96" s="44" t="s">
        <v>47</v>
      </c>
      <c r="D96" s="45"/>
      <c r="E96" s="21">
        <f>E98+E102</f>
        <v>15</v>
      </c>
      <c r="F96" s="21">
        <f t="shared" ref="F96:V97" si="9">F98+F102</f>
        <v>183</v>
      </c>
      <c r="G96" s="21">
        <f t="shared" si="9"/>
        <v>1050</v>
      </c>
      <c r="H96" s="21">
        <f t="shared" si="9"/>
        <v>381</v>
      </c>
      <c r="I96" s="21">
        <f t="shared" si="9"/>
        <v>121</v>
      </c>
      <c r="J96" s="21">
        <f t="shared" si="9"/>
        <v>13</v>
      </c>
      <c r="K96" s="21">
        <f t="shared" si="9"/>
        <v>134</v>
      </c>
      <c r="L96" s="21">
        <f t="shared" si="9"/>
        <v>1546</v>
      </c>
      <c r="M96" s="21">
        <f t="shared" si="9"/>
        <v>782</v>
      </c>
      <c r="N96" s="21">
        <f t="shared" si="9"/>
        <v>320</v>
      </c>
      <c r="O96" s="21">
        <f t="shared" si="9"/>
        <v>220</v>
      </c>
      <c r="P96" s="21">
        <f t="shared" si="9"/>
        <v>19</v>
      </c>
      <c r="Q96" s="21">
        <f t="shared" si="9"/>
        <v>1</v>
      </c>
      <c r="R96" s="21">
        <f t="shared" si="9"/>
        <v>54</v>
      </c>
      <c r="S96" s="21">
        <f t="shared" si="9"/>
        <v>0</v>
      </c>
      <c r="T96" s="21">
        <f t="shared" si="9"/>
        <v>0</v>
      </c>
      <c r="U96" s="21">
        <f t="shared" si="9"/>
        <v>48</v>
      </c>
      <c r="V96" s="23">
        <f t="shared" si="9"/>
        <v>24</v>
      </c>
    </row>
    <row r="97" spans="1:22" ht="11.25" customHeight="1" x14ac:dyDescent="0.15">
      <c r="A97" s="37"/>
      <c r="B97" s="22" t="s">
        <v>36</v>
      </c>
      <c r="C97" s="46" t="s">
        <v>48</v>
      </c>
      <c r="D97" s="47"/>
      <c r="E97" s="21">
        <f>E99+E103</f>
        <v>4035</v>
      </c>
      <c r="F97" s="21">
        <f t="shared" si="9"/>
        <v>96248</v>
      </c>
      <c r="G97" s="21">
        <f t="shared" si="9"/>
        <v>74831</v>
      </c>
      <c r="H97" s="21">
        <f t="shared" si="9"/>
        <v>91333</v>
      </c>
      <c r="I97" s="21">
        <f t="shared" si="9"/>
        <v>850</v>
      </c>
      <c r="J97" s="21">
        <f t="shared" si="9"/>
        <v>1136</v>
      </c>
      <c r="K97" s="21">
        <f t="shared" si="9"/>
        <v>4290</v>
      </c>
      <c r="L97" s="21">
        <f t="shared" si="9"/>
        <v>97009</v>
      </c>
      <c r="M97" s="21">
        <f t="shared" si="9"/>
        <v>56639</v>
      </c>
      <c r="N97" s="21">
        <f t="shared" si="9"/>
        <v>47800</v>
      </c>
      <c r="O97" s="21">
        <f t="shared" si="9"/>
        <v>28356</v>
      </c>
      <c r="P97" s="21">
        <f t="shared" si="9"/>
        <v>2154</v>
      </c>
      <c r="Q97" s="21">
        <f t="shared" si="9"/>
        <v>236</v>
      </c>
      <c r="R97" s="21">
        <f t="shared" si="9"/>
        <v>4381</v>
      </c>
      <c r="S97" s="21">
        <f t="shared" si="9"/>
        <v>0</v>
      </c>
      <c r="T97" s="21">
        <f t="shared" si="9"/>
        <v>0</v>
      </c>
      <c r="U97" s="21">
        <f t="shared" si="9"/>
        <v>619</v>
      </c>
      <c r="V97" s="3">
        <f t="shared" si="9"/>
        <v>13692</v>
      </c>
    </row>
    <row r="98" spans="1:22" ht="11.25" customHeight="1" x14ac:dyDescent="0.15">
      <c r="A98" s="43">
        <v>5</v>
      </c>
      <c r="B98" s="48" t="s">
        <v>37</v>
      </c>
      <c r="C98" s="40" t="s">
        <v>38</v>
      </c>
      <c r="D98" s="41"/>
      <c r="E98" s="12">
        <f>6+4</f>
        <v>10</v>
      </c>
      <c r="F98" s="12">
        <f>50+29</f>
        <v>79</v>
      </c>
      <c r="G98" s="12">
        <f>466+237</f>
        <v>703</v>
      </c>
      <c r="H98" s="12">
        <f>90+50</f>
        <v>140</v>
      </c>
      <c r="I98" s="12">
        <f>69+50</f>
        <v>119</v>
      </c>
      <c r="J98" s="12">
        <f>11+2</f>
        <v>13</v>
      </c>
      <c r="K98" s="12">
        <f>63+67</f>
        <v>130</v>
      </c>
      <c r="L98" s="12">
        <f>782+391</f>
        <v>1173</v>
      </c>
      <c r="M98" s="12">
        <f>94+56</f>
        <v>150</v>
      </c>
      <c r="N98" s="12">
        <f>78+40</f>
        <v>118</v>
      </c>
      <c r="O98" s="12">
        <f>14+12</f>
        <v>26</v>
      </c>
      <c r="P98" s="12">
        <f>8+5</f>
        <v>13</v>
      </c>
      <c r="Q98" s="12">
        <v>0</v>
      </c>
      <c r="R98" s="12">
        <f>31+18</f>
        <v>49</v>
      </c>
      <c r="S98" s="12">
        <v>0</v>
      </c>
      <c r="T98" s="12">
        <v>0</v>
      </c>
      <c r="U98" s="12">
        <f>24+23</f>
        <v>47</v>
      </c>
      <c r="V98" s="23">
        <f>6+10</f>
        <v>16</v>
      </c>
    </row>
    <row r="99" spans="1:22" ht="11.25" customHeight="1" x14ac:dyDescent="0.15">
      <c r="A99" s="43"/>
      <c r="B99" s="49"/>
      <c r="C99" s="42" t="s">
        <v>39</v>
      </c>
      <c r="D99" s="43"/>
      <c r="E99" s="21">
        <f>E100+E101</f>
        <v>3191</v>
      </c>
      <c r="F99" s="21">
        <f t="shared" ref="F99:J99" si="10">F100+F101</f>
        <v>61151</v>
      </c>
      <c r="G99" s="21">
        <f t="shared" si="10"/>
        <v>68503</v>
      </c>
      <c r="H99" s="21">
        <f t="shared" si="10"/>
        <v>74298</v>
      </c>
      <c r="I99" s="21">
        <f t="shared" si="10"/>
        <v>842</v>
      </c>
      <c r="J99" s="21">
        <f t="shared" si="10"/>
        <v>1136</v>
      </c>
      <c r="K99" s="21">
        <f>K100+K101</f>
        <v>4154</v>
      </c>
      <c r="L99" s="21">
        <f t="shared" ref="L99:V99" si="11">L100+L101</f>
        <v>88209</v>
      </c>
      <c r="M99" s="21">
        <f t="shared" si="11"/>
        <v>35907</v>
      </c>
      <c r="N99" s="21">
        <f t="shared" si="11"/>
        <v>40898</v>
      </c>
      <c r="O99" s="21">
        <f t="shared" si="11"/>
        <v>18652</v>
      </c>
      <c r="P99" s="21">
        <f t="shared" si="11"/>
        <v>2006</v>
      </c>
      <c r="Q99" s="21">
        <f t="shared" si="11"/>
        <v>0</v>
      </c>
      <c r="R99" s="21">
        <f t="shared" si="11"/>
        <v>4262</v>
      </c>
      <c r="S99" s="21">
        <f t="shared" si="11"/>
        <v>0</v>
      </c>
      <c r="T99" s="21">
        <f t="shared" si="11"/>
        <v>0</v>
      </c>
      <c r="U99" s="21">
        <f t="shared" si="11"/>
        <v>615</v>
      </c>
      <c r="V99" s="3">
        <f t="shared" si="11"/>
        <v>13132</v>
      </c>
    </row>
    <row r="100" spans="1:22" ht="11.25" customHeight="1" x14ac:dyDescent="0.15">
      <c r="A100" s="43"/>
      <c r="B100" s="49"/>
      <c r="C100" s="33"/>
      <c r="D100" s="24" t="s">
        <v>1</v>
      </c>
      <c r="E100" s="21">
        <f>2167+952</f>
        <v>3119</v>
      </c>
      <c r="F100" s="21">
        <f>35297+24627</f>
        <v>59924</v>
      </c>
      <c r="G100" s="21">
        <f>44426+21437</f>
        <v>65863</v>
      </c>
      <c r="H100" s="21">
        <f>50002+22674</f>
        <v>72676</v>
      </c>
      <c r="I100" s="21">
        <f>328+287</f>
        <v>615</v>
      </c>
      <c r="J100" s="21">
        <f>909+175</f>
        <v>1084</v>
      </c>
      <c r="K100" s="21">
        <f>1656+1602</f>
        <v>3258</v>
      </c>
      <c r="L100" s="21">
        <f>52766+29355</f>
        <v>82121</v>
      </c>
      <c r="M100" s="21">
        <f>21723+12754</f>
        <v>34477</v>
      </c>
      <c r="N100" s="21">
        <f>25815+13551</f>
        <v>39366</v>
      </c>
      <c r="O100" s="21">
        <f>9333+8996</f>
        <v>18329</v>
      </c>
      <c r="P100" s="21">
        <f>1351+574</f>
        <v>1925</v>
      </c>
      <c r="Q100" s="21">
        <v>0</v>
      </c>
      <c r="R100" s="21">
        <f>1236+2678</f>
        <v>3914</v>
      </c>
      <c r="S100" s="21">
        <v>0</v>
      </c>
      <c r="T100" s="21">
        <v>0</v>
      </c>
      <c r="U100" s="21">
        <f>279+233</f>
        <v>512</v>
      </c>
      <c r="V100" s="3">
        <f>8756+3782</f>
        <v>12538</v>
      </c>
    </row>
    <row r="101" spans="1:22" ht="11.25" customHeight="1" x14ac:dyDescent="0.15">
      <c r="A101" s="43"/>
      <c r="B101" s="50"/>
      <c r="C101" s="34"/>
      <c r="D101" s="25" t="s">
        <v>3</v>
      </c>
      <c r="E101" s="13">
        <f>50+22</f>
        <v>72</v>
      </c>
      <c r="F101" s="13">
        <f>746+481</f>
        <v>1227</v>
      </c>
      <c r="G101" s="13">
        <f>1846+794</f>
        <v>2640</v>
      </c>
      <c r="H101" s="13">
        <f>854+768</f>
        <v>1622</v>
      </c>
      <c r="I101" s="13">
        <f>76+151</f>
        <v>227</v>
      </c>
      <c r="J101" s="13">
        <v>52</v>
      </c>
      <c r="K101" s="13">
        <f>380+516</f>
        <v>896</v>
      </c>
      <c r="L101" s="13">
        <f>2472+3616</f>
        <v>6088</v>
      </c>
      <c r="M101" s="13">
        <f>914+516</f>
        <v>1430</v>
      </c>
      <c r="N101" s="13">
        <f>1158+374</f>
        <v>1532</v>
      </c>
      <c r="O101" s="13">
        <f>175+148</f>
        <v>323</v>
      </c>
      <c r="P101" s="13">
        <f>38+43</f>
        <v>81</v>
      </c>
      <c r="Q101" s="13">
        <v>0</v>
      </c>
      <c r="R101" s="13">
        <f>138+210</f>
        <v>348</v>
      </c>
      <c r="S101" s="13">
        <v>0</v>
      </c>
      <c r="T101" s="13">
        <v>0</v>
      </c>
      <c r="U101" s="13">
        <f>76+27</f>
        <v>103</v>
      </c>
      <c r="V101" s="26">
        <f>260+334</f>
        <v>594</v>
      </c>
    </row>
    <row r="102" spans="1:22" ht="11.25" customHeight="1" x14ac:dyDescent="0.15">
      <c r="A102" s="43"/>
      <c r="B102" s="48" t="s">
        <v>40</v>
      </c>
      <c r="C102" s="40" t="s">
        <v>38</v>
      </c>
      <c r="D102" s="41"/>
      <c r="E102" s="21">
        <f>4+1</f>
        <v>5</v>
      </c>
      <c r="F102" s="21">
        <f>61+43</f>
        <v>104</v>
      </c>
      <c r="G102" s="21">
        <f>235+112</f>
        <v>347</v>
      </c>
      <c r="H102" s="21">
        <f>133+108</f>
        <v>241</v>
      </c>
      <c r="I102" s="21">
        <v>2</v>
      </c>
      <c r="J102" s="21">
        <v>0</v>
      </c>
      <c r="K102" s="21">
        <f>3+1</f>
        <v>4</v>
      </c>
      <c r="L102" s="21">
        <f>265+108</f>
        <v>373</v>
      </c>
      <c r="M102" s="21">
        <f>226+406</f>
        <v>632</v>
      </c>
      <c r="N102" s="21">
        <f>121+81</f>
        <v>202</v>
      </c>
      <c r="O102" s="21">
        <f>116+78</f>
        <v>194</v>
      </c>
      <c r="P102" s="21">
        <f>5+1</f>
        <v>6</v>
      </c>
      <c r="Q102" s="21">
        <v>1</v>
      </c>
      <c r="R102" s="21">
        <f>3+2</f>
        <v>5</v>
      </c>
      <c r="S102" s="21">
        <v>0</v>
      </c>
      <c r="T102" s="21">
        <v>0</v>
      </c>
      <c r="U102" s="21">
        <f>1</f>
        <v>1</v>
      </c>
      <c r="V102" s="3">
        <f>4+4</f>
        <v>8</v>
      </c>
    </row>
    <row r="103" spans="1:22" ht="11.25" customHeight="1" x14ac:dyDescent="0.15">
      <c r="A103" s="43"/>
      <c r="B103" s="49"/>
      <c r="C103" s="42" t="s">
        <v>39</v>
      </c>
      <c r="D103" s="43"/>
      <c r="E103" s="21">
        <f>E104+E105</f>
        <v>844</v>
      </c>
      <c r="F103" s="21">
        <f t="shared" ref="F103:V103" si="12">F104+F105</f>
        <v>35097</v>
      </c>
      <c r="G103" s="21">
        <f t="shared" si="12"/>
        <v>6328</v>
      </c>
      <c r="H103" s="21">
        <f t="shared" si="12"/>
        <v>17035</v>
      </c>
      <c r="I103" s="21">
        <f t="shared" si="12"/>
        <v>8</v>
      </c>
      <c r="J103" s="21">
        <f t="shared" si="12"/>
        <v>0</v>
      </c>
      <c r="K103" s="21">
        <f t="shared" si="12"/>
        <v>136</v>
      </c>
      <c r="L103" s="21">
        <f t="shared" si="12"/>
        <v>8800</v>
      </c>
      <c r="M103" s="21">
        <f t="shared" si="12"/>
        <v>20732</v>
      </c>
      <c r="N103" s="21">
        <f t="shared" si="12"/>
        <v>6902</v>
      </c>
      <c r="O103" s="21">
        <f t="shared" si="12"/>
        <v>9704</v>
      </c>
      <c r="P103" s="21">
        <f t="shared" si="12"/>
        <v>148</v>
      </c>
      <c r="Q103" s="21">
        <f t="shared" si="12"/>
        <v>236</v>
      </c>
      <c r="R103" s="21">
        <f t="shared" si="12"/>
        <v>119</v>
      </c>
      <c r="S103" s="21">
        <f t="shared" si="12"/>
        <v>0</v>
      </c>
      <c r="T103" s="21">
        <f t="shared" si="12"/>
        <v>0</v>
      </c>
      <c r="U103" s="21">
        <f t="shared" si="12"/>
        <v>4</v>
      </c>
      <c r="V103" s="3">
        <f t="shared" si="12"/>
        <v>560</v>
      </c>
    </row>
    <row r="104" spans="1:22" ht="11.25" customHeight="1" x14ac:dyDescent="0.15">
      <c r="A104" s="43"/>
      <c r="B104" s="49"/>
      <c r="C104" s="33"/>
      <c r="D104" s="24" t="s">
        <v>1</v>
      </c>
      <c r="E104" s="21">
        <f>824+18</f>
        <v>842</v>
      </c>
      <c r="F104" s="21">
        <f>17359+16703</f>
        <v>34062</v>
      </c>
      <c r="G104" s="21">
        <f>4130+1993</f>
        <v>6123</v>
      </c>
      <c r="H104" s="21">
        <f>8530+8075</f>
        <v>16605</v>
      </c>
      <c r="I104" s="21">
        <v>4</v>
      </c>
      <c r="J104" s="21">
        <v>0</v>
      </c>
      <c r="K104" s="21">
        <f>66+28</f>
        <v>94</v>
      </c>
      <c r="L104" s="21">
        <f>6138+2301</f>
        <v>8439</v>
      </c>
      <c r="M104" s="21">
        <f>13129+7042</f>
        <v>20171</v>
      </c>
      <c r="N104" s="21">
        <f>3686+3041</f>
        <v>6727</v>
      </c>
      <c r="O104" s="21">
        <f>5497+3921</f>
        <v>9418</v>
      </c>
      <c r="P104" s="21">
        <f>114+19</f>
        <v>133</v>
      </c>
      <c r="Q104" s="21">
        <v>236</v>
      </c>
      <c r="R104" s="21">
        <f>56+60</f>
        <v>116</v>
      </c>
      <c r="S104" s="21">
        <v>0</v>
      </c>
      <c r="T104" s="21">
        <v>0</v>
      </c>
      <c r="U104" s="21">
        <v>4</v>
      </c>
      <c r="V104" s="3">
        <f>151+353</f>
        <v>504</v>
      </c>
    </row>
    <row r="105" spans="1:22" ht="11.25" customHeight="1" x14ac:dyDescent="0.15">
      <c r="A105" s="43"/>
      <c r="B105" s="50"/>
      <c r="C105" s="34"/>
      <c r="D105" s="25" t="s">
        <v>3</v>
      </c>
      <c r="E105" s="13">
        <f>0+2</f>
        <v>2</v>
      </c>
      <c r="F105" s="13">
        <f>568+467</f>
        <v>1035</v>
      </c>
      <c r="G105" s="13">
        <f>126+79</f>
        <v>205</v>
      </c>
      <c r="H105" s="13">
        <f>177+253</f>
        <v>430</v>
      </c>
      <c r="I105" s="13">
        <v>4</v>
      </c>
      <c r="J105" s="13">
        <v>0</v>
      </c>
      <c r="K105" s="13">
        <f>18+24</f>
        <v>42</v>
      </c>
      <c r="L105" s="13">
        <f>274+87</f>
        <v>361</v>
      </c>
      <c r="M105" s="13">
        <f>349+212</f>
        <v>561</v>
      </c>
      <c r="N105" s="13">
        <f>107+68</f>
        <v>175</v>
      </c>
      <c r="O105" s="13">
        <f>155+131</f>
        <v>286</v>
      </c>
      <c r="P105" s="13">
        <f>13+2</f>
        <v>15</v>
      </c>
      <c r="Q105" s="13">
        <v>0</v>
      </c>
      <c r="R105" s="13">
        <f>1+2</f>
        <v>3</v>
      </c>
      <c r="S105" s="13">
        <v>0</v>
      </c>
      <c r="T105" s="13">
        <v>0</v>
      </c>
      <c r="U105" s="13">
        <v>0</v>
      </c>
      <c r="V105" s="26">
        <f>24+32</f>
        <v>56</v>
      </c>
    </row>
    <row r="106" spans="1:22" ht="11.25" customHeight="1" x14ac:dyDescent="0.15">
      <c r="A106" s="37" t="s">
        <v>2</v>
      </c>
      <c r="B106" s="39" t="s">
        <v>49</v>
      </c>
      <c r="C106" s="40" t="s">
        <v>38</v>
      </c>
      <c r="D106" s="41"/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3" t="s">
        <v>42</v>
      </c>
    </row>
    <row r="107" spans="1:22" ht="11.25" customHeight="1" x14ac:dyDescent="0.15">
      <c r="A107" s="37"/>
      <c r="B107" s="37"/>
      <c r="C107" s="42" t="s">
        <v>39</v>
      </c>
      <c r="D107" s="43"/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0</v>
      </c>
      <c r="V107" s="3">
        <v>0</v>
      </c>
    </row>
    <row r="108" spans="1:22" ht="11.25" customHeight="1" x14ac:dyDescent="0.15">
      <c r="A108" s="37"/>
      <c r="B108" s="37"/>
      <c r="C108" s="33"/>
      <c r="D108" s="24" t="s">
        <v>1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0</v>
      </c>
      <c r="V108" s="3">
        <v>0</v>
      </c>
    </row>
    <row r="109" spans="1:22" ht="11.25" customHeight="1" x14ac:dyDescent="0.15">
      <c r="A109" s="38"/>
      <c r="B109" s="38"/>
      <c r="C109" s="34"/>
      <c r="D109" s="31" t="s">
        <v>3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26">
        <v>0</v>
      </c>
    </row>
    <row r="110" spans="1:22" ht="11.25" customHeight="1" x14ac:dyDescent="0.15">
      <c r="A110" s="39" t="s">
        <v>50</v>
      </c>
      <c r="B110" s="32" t="s">
        <v>35</v>
      </c>
      <c r="C110" s="44" t="s">
        <v>47</v>
      </c>
      <c r="D110" s="45"/>
      <c r="E110" s="21">
        <f>E112+E116</f>
        <v>20</v>
      </c>
      <c r="F110" s="21">
        <f t="shared" ref="F110:V110" si="13">F112+F116</f>
        <v>203</v>
      </c>
      <c r="G110" s="21">
        <f t="shared" si="13"/>
        <v>964</v>
      </c>
      <c r="H110" s="21">
        <f t="shared" si="13"/>
        <v>397</v>
      </c>
      <c r="I110" s="21">
        <f t="shared" si="13"/>
        <v>110</v>
      </c>
      <c r="J110" s="21">
        <f t="shared" si="13"/>
        <v>7</v>
      </c>
      <c r="K110" s="21">
        <f t="shared" si="13"/>
        <v>135</v>
      </c>
      <c r="L110" s="21">
        <f t="shared" si="13"/>
        <v>1505</v>
      </c>
      <c r="M110" s="21">
        <f t="shared" si="13"/>
        <v>901</v>
      </c>
      <c r="N110" s="21">
        <f t="shared" si="13"/>
        <v>289</v>
      </c>
      <c r="O110" s="21">
        <f t="shared" si="13"/>
        <v>245</v>
      </c>
      <c r="P110" s="21">
        <f t="shared" si="13"/>
        <v>32</v>
      </c>
      <c r="Q110" s="21">
        <f t="shared" si="13"/>
        <v>2</v>
      </c>
      <c r="R110" s="21">
        <f t="shared" si="13"/>
        <v>45</v>
      </c>
      <c r="S110" s="21">
        <f t="shared" si="13"/>
        <v>0</v>
      </c>
      <c r="T110" s="21">
        <f t="shared" si="13"/>
        <v>0</v>
      </c>
      <c r="U110" s="21">
        <f t="shared" si="13"/>
        <v>51</v>
      </c>
      <c r="V110" s="23">
        <f t="shared" si="13"/>
        <v>22</v>
      </c>
    </row>
    <row r="111" spans="1:22" ht="11.25" customHeight="1" x14ac:dyDescent="0.15">
      <c r="A111" s="37"/>
      <c r="B111" s="22" t="s">
        <v>36</v>
      </c>
      <c r="C111" s="46" t="s">
        <v>48</v>
      </c>
      <c r="D111" s="47"/>
      <c r="E111" s="21">
        <f>E113+E117</f>
        <v>9869</v>
      </c>
      <c r="F111" s="21">
        <f t="shared" ref="F111:V111" si="14">F113+F117</f>
        <v>105896</v>
      </c>
      <c r="G111" s="21">
        <f t="shared" si="14"/>
        <v>66621</v>
      </c>
      <c r="H111" s="21">
        <f t="shared" si="14"/>
        <v>86764</v>
      </c>
      <c r="I111" s="21">
        <f t="shared" si="14"/>
        <v>924</v>
      </c>
      <c r="J111" s="21">
        <f t="shared" si="14"/>
        <v>1258</v>
      </c>
      <c r="K111" s="21">
        <f t="shared" si="14"/>
        <v>4436</v>
      </c>
      <c r="L111" s="21">
        <f t="shared" si="14"/>
        <v>101839</v>
      </c>
      <c r="M111" s="21">
        <f t="shared" si="14"/>
        <v>83729</v>
      </c>
      <c r="N111" s="21">
        <f t="shared" si="14"/>
        <v>38244</v>
      </c>
      <c r="O111" s="21">
        <f t="shared" si="14"/>
        <v>34184</v>
      </c>
      <c r="P111" s="21">
        <f t="shared" si="14"/>
        <v>5040</v>
      </c>
      <c r="Q111" s="21">
        <f t="shared" si="14"/>
        <v>785</v>
      </c>
      <c r="R111" s="21">
        <f t="shared" si="14"/>
        <v>3982</v>
      </c>
      <c r="S111" s="21">
        <f t="shared" si="14"/>
        <v>0</v>
      </c>
      <c r="T111" s="21">
        <f t="shared" si="14"/>
        <v>0</v>
      </c>
      <c r="U111" s="21">
        <f t="shared" si="14"/>
        <v>605</v>
      </c>
      <c r="V111" s="3">
        <f t="shared" si="14"/>
        <v>9550</v>
      </c>
    </row>
    <row r="112" spans="1:22" ht="11.25" customHeight="1" x14ac:dyDescent="0.15">
      <c r="A112" s="43">
        <v>6</v>
      </c>
      <c r="B112" s="48" t="s">
        <v>37</v>
      </c>
      <c r="C112" s="40" t="s">
        <v>38</v>
      </c>
      <c r="D112" s="41"/>
      <c r="E112" s="12">
        <f>10+5</f>
        <v>15</v>
      </c>
      <c r="F112" s="12">
        <f>42+26</f>
        <v>68</v>
      </c>
      <c r="G112" s="12">
        <f>434+187</f>
        <v>621</v>
      </c>
      <c r="H112" s="12">
        <f>82+47</f>
        <v>129</v>
      </c>
      <c r="I112" s="12">
        <f>47+63</f>
        <v>110</v>
      </c>
      <c r="J112" s="12">
        <f>5+2</f>
        <v>7</v>
      </c>
      <c r="K112" s="12">
        <f>62+63</f>
        <v>125</v>
      </c>
      <c r="L112" s="12">
        <f>740+356</f>
        <v>1096</v>
      </c>
      <c r="M112" s="12">
        <f>99+69</f>
        <v>168</v>
      </c>
      <c r="N112" s="12">
        <f>51+37</f>
        <v>88</v>
      </c>
      <c r="O112" s="12">
        <f>23+18</f>
        <v>41</v>
      </c>
      <c r="P112" s="12">
        <f>18+4</f>
        <v>22</v>
      </c>
      <c r="Q112" s="12">
        <v>0</v>
      </c>
      <c r="R112" s="12">
        <f>21+17</f>
        <v>38</v>
      </c>
      <c r="S112" s="12">
        <v>0</v>
      </c>
      <c r="T112" s="12">
        <v>0</v>
      </c>
      <c r="U112" s="12">
        <f>31+18</f>
        <v>49</v>
      </c>
      <c r="V112" s="23">
        <f>9+3</f>
        <v>12</v>
      </c>
    </row>
    <row r="113" spans="1:22" ht="11.25" customHeight="1" x14ac:dyDescent="0.15">
      <c r="A113" s="43"/>
      <c r="B113" s="49"/>
      <c r="C113" s="42" t="s">
        <v>39</v>
      </c>
      <c r="D113" s="43"/>
      <c r="E113" s="21">
        <f>E114+E115</f>
        <v>8008</v>
      </c>
      <c r="F113" s="21">
        <f t="shared" ref="F113:J113" si="15">F114+F115</f>
        <v>58750</v>
      </c>
      <c r="G113" s="21">
        <f t="shared" si="15"/>
        <v>59904</v>
      </c>
      <c r="H113" s="21">
        <f t="shared" si="15"/>
        <v>67562</v>
      </c>
      <c r="I113" s="21">
        <f t="shared" si="15"/>
        <v>924</v>
      </c>
      <c r="J113" s="21">
        <f t="shared" si="15"/>
        <v>1258</v>
      </c>
      <c r="K113" s="21">
        <f>K114+K115</f>
        <v>4290</v>
      </c>
      <c r="L113" s="21">
        <f t="shared" ref="L113:V113" si="16">L114+L115</f>
        <v>90565</v>
      </c>
      <c r="M113" s="21">
        <f t="shared" si="16"/>
        <v>51200</v>
      </c>
      <c r="N113" s="21">
        <f t="shared" si="16"/>
        <v>30447</v>
      </c>
      <c r="O113" s="21">
        <f>O114+O115</f>
        <v>18854</v>
      </c>
      <c r="P113" s="21">
        <f t="shared" si="16"/>
        <v>4860</v>
      </c>
      <c r="Q113" s="21">
        <f t="shared" si="16"/>
        <v>0</v>
      </c>
      <c r="R113" s="21">
        <f t="shared" si="16"/>
        <v>3826</v>
      </c>
      <c r="S113" s="21">
        <f t="shared" si="16"/>
        <v>0</v>
      </c>
      <c r="T113" s="21">
        <f t="shared" si="16"/>
        <v>0</v>
      </c>
      <c r="U113" s="21">
        <f t="shared" si="16"/>
        <v>599</v>
      </c>
      <c r="V113" s="3">
        <f t="shared" si="16"/>
        <v>8820</v>
      </c>
    </row>
    <row r="114" spans="1:22" ht="11.25" customHeight="1" x14ac:dyDescent="0.15">
      <c r="A114" s="43"/>
      <c r="B114" s="49"/>
      <c r="C114" s="33"/>
      <c r="D114" s="24" t="s">
        <v>1</v>
      </c>
      <c r="E114" s="21">
        <f>5788+2001</f>
        <v>7789</v>
      </c>
      <c r="F114" s="21">
        <f>31238+26360</f>
        <v>57598</v>
      </c>
      <c r="G114" s="21">
        <f>38813+18622</f>
        <v>57435</v>
      </c>
      <c r="H114" s="21">
        <f>41269+24771</f>
        <v>66040</v>
      </c>
      <c r="I114" s="21">
        <f>277+393</f>
        <v>670</v>
      </c>
      <c r="J114" s="21">
        <f>1049+166</f>
        <v>1215</v>
      </c>
      <c r="K114" s="21">
        <f>1723+1676</f>
        <v>3399</v>
      </c>
      <c r="L114" s="21">
        <f>55027+28960</f>
        <v>83987</v>
      </c>
      <c r="M114" s="21">
        <f>30981+18369</f>
        <v>49350</v>
      </c>
      <c r="N114" s="21">
        <f>17498+12145</f>
        <v>29643</v>
      </c>
      <c r="O114" s="21">
        <f>9404+8988</f>
        <v>18392</v>
      </c>
      <c r="P114" s="21">
        <f>4173+448</f>
        <v>4621</v>
      </c>
      <c r="Q114" s="21">
        <v>0</v>
      </c>
      <c r="R114" s="21">
        <f>1183+2368</f>
        <v>3551</v>
      </c>
      <c r="S114" s="21">
        <v>0</v>
      </c>
      <c r="T114" s="21">
        <v>0</v>
      </c>
      <c r="U114" s="21">
        <f>290+237</f>
        <v>527</v>
      </c>
      <c r="V114" s="3">
        <f>6988+1483</f>
        <v>8471</v>
      </c>
    </row>
    <row r="115" spans="1:22" ht="11.25" customHeight="1" x14ac:dyDescent="0.15">
      <c r="A115" s="43"/>
      <c r="B115" s="50"/>
      <c r="C115" s="34"/>
      <c r="D115" s="25" t="s">
        <v>3</v>
      </c>
      <c r="E115" s="13">
        <f>134+85</f>
        <v>219</v>
      </c>
      <c r="F115" s="13">
        <f>706+446</f>
        <v>1152</v>
      </c>
      <c r="G115" s="13">
        <f>1630+839</f>
        <v>2469</v>
      </c>
      <c r="H115" s="13">
        <f>997+525</f>
        <v>1522</v>
      </c>
      <c r="I115" s="13">
        <f>73+181</f>
        <v>254</v>
      </c>
      <c r="J115" s="21">
        <f>35+8</f>
        <v>43</v>
      </c>
      <c r="K115" s="13">
        <f>262+629</f>
        <v>891</v>
      </c>
      <c r="L115" s="13">
        <f>3193+3385</f>
        <v>6578</v>
      </c>
      <c r="M115" s="13">
        <f>1225+625</f>
        <v>1850</v>
      </c>
      <c r="N115" s="13">
        <f>438+366</f>
        <v>804</v>
      </c>
      <c r="O115" s="13">
        <f>212+250</f>
        <v>462</v>
      </c>
      <c r="P115" s="13">
        <f>189+50</f>
        <v>239</v>
      </c>
      <c r="Q115" s="13">
        <v>0</v>
      </c>
      <c r="R115" s="13">
        <f>62+213</f>
        <v>275</v>
      </c>
      <c r="S115" s="13">
        <v>0</v>
      </c>
      <c r="T115" s="13">
        <v>0</v>
      </c>
      <c r="U115" s="13">
        <f>33+39</f>
        <v>72</v>
      </c>
      <c r="V115" s="26">
        <f>260+89</f>
        <v>349</v>
      </c>
    </row>
    <row r="116" spans="1:22" ht="11.25" customHeight="1" x14ac:dyDescent="0.15">
      <c r="A116" s="43"/>
      <c r="B116" s="48" t="s">
        <v>40</v>
      </c>
      <c r="C116" s="40" t="s">
        <v>38</v>
      </c>
      <c r="D116" s="41"/>
      <c r="E116" s="21">
        <f>5+0</f>
        <v>5</v>
      </c>
      <c r="F116" s="21">
        <f>71+64</f>
        <v>135</v>
      </c>
      <c r="G116" s="21">
        <f>221+122</f>
        <v>343</v>
      </c>
      <c r="H116" s="21">
        <f>171+97</f>
        <v>268</v>
      </c>
      <c r="I116" s="21">
        <v>0</v>
      </c>
      <c r="J116" s="21">
        <v>0</v>
      </c>
      <c r="K116" s="21">
        <f>5+5</f>
        <v>10</v>
      </c>
      <c r="L116" s="21">
        <f>285+124</f>
        <v>409</v>
      </c>
      <c r="M116" s="21">
        <f>412+321</f>
        <v>733</v>
      </c>
      <c r="N116" s="21">
        <f>109+92</f>
        <v>201</v>
      </c>
      <c r="O116" s="21">
        <f>115+89</f>
        <v>204</v>
      </c>
      <c r="P116" s="21">
        <f>7+3</f>
        <v>10</v>
      </c>
      <c r="Q116" s="21">
        <v>2</v>
      </c>
      <c r="R116" s="21">
        <f>6+1</f>
        <v>7</v>
      </c>
      <c r="S116" s="21">
        <v>0</v>
      </c>
      <c r="T116" s="21">
        <v>0</v>
      </c>
      <c r="U116" s="21">
        <f>2</f>
        <v>2</v>
      </c>
      <c r="V116" s="3">
        <f>5+5</f>
        <v>10</v>
      </c>
    </row>
    <row r="117" spans="1:22" ht="11.25" customHeight="1" x14ac:dyDescent="0.15">
      <c r="A117" s="43"/>
      <c r="B117" s="49"/>
      <c r="C117" s="42" t="s">
        <v>39</v>
      </c>
      <c r="D117" s="43"/>
      <c r="E117" s="21">
        <f>E118+E119</f>
        <v>1861</v>
      </c>
      <c r="F117" s="21">
        <f t="shared" ref="F117:V117" si="17">F118+F119</f>
        <v>47146</v>
      </c>
      <c r="G117" s="21">
        <f t="shared" si="17"/>
        <v>6717</v>
      </c>
      <c r="H117" s="21">
        <f t="shared" si="17"/>
        <v>19202</v>
      </c>
      <c r="I117" s="21">
        <f t="shared" si="17"/>
        <v>0</v>
      </c>
      <c r="J117" s="21">
        <f t="shared" si="17"/>
        <v>0</v>
      </c>
      <c r="K117" s="21">
        <f t="shared" si="17"/>
        <v>146</v>
      </c>
      <c r="L117" s="21">
        <f t="shared" si="17"/>
        <v>11274</v>
      </c>
      <c r="M117" s="21">
        <f t="shared" si="17"/>
        <v>32529</v>
      </c>
      <c r="N117" s="21">
        <f t="shared" si="17"/>
        <v>7797</v>
      </c>
      <c r="O117" s="21">
        <f t="shared" si="17"/>
        <v>15330</v>
      </c>
      <c r="P117" s="21">
        <f t="shared" si="17"/>
        <v>180</v>
      </c>
      <c r="Q117" s="21">
        <f t="shared" si="17"/>
        <v>785</v>
      </c>
      <c r="R117" s="21">
        <f t="shared" si="17"/>
        <v>156</v>
      </c>
      <c r="S117" s="21">
        <f t="shared" si="17"/>
        <v>0</v>
      </c>
      <c r="T117" s="21">
        <f t="shared" si="17"/>
        <v>0</v>
      </c>
      <c r="U117" s="21">
        <f t="shared" si="17"/>
        <v>6</v>
      </c>
      <c r="V117" s="3">
        <f t="shared" si="17"/>
        <v>730</v>
      </c>
    </row>
    <row r="118" spans="1:22" ht="11.25" customHeight="1" x14ac:dyDescent="0.15">
      <c r="A118" s="43"/>
      <c r="B118" s="49"/>
      <c r="C118" s="33"/>
      <c r="D118" s="24" t="s">
        <v>1</v>
      </c>
      <c r="E118" s="21">
        <f>1733+0</f>
        <v>1733</v>
      </c>
      <c r="F118" s="21">
        <f>22377+23399</f>
        <v>45776</v>
      </c>
      <c r="G118" s="21">
        <f>4218+2281</f>
        <v>6499</v>
      </c>
      <c r="H118" s="21">
        <f>11839+6940</f>
        <v>18779</v>
      </c>
      <c r="I118" s="21">
        <v>0</v>
      </c>
      <c r="J118" s="21">
        <v>0</v>
      </c>
      <c r="K118" s="21">
        <f>84+46</f>
        <v>130</v>
      </c>
      <c r="L118" s="21">
        <f>6732+3891</f>
        <v>10623</v>
      </c>
      <c r="M118" s="21">
        <f>18739+12978</f>
        <v>31717</v>
      </c>
      <c r="N118" s="21">
        <f>4362+3270</f>
        <v>7632</v>
      </c>
      <c r="O118" s="21">
        <f>9205+6023</f>
        <v>15228</v>
      </c>
      <c r="P118" s="21">
        <f>131+36</f>
        <v>167</v>
      </c>
      <c r="Q118" s="21">
        <v>761</v>
      </c>
      <c r="R118" s="21">
        <f>106+45</f>
        <v>151</v>
      </c>
      <c r="S118" s="21">
        <v>0</v>
      </c>
      <c r="T118" s="21">
        <v>0</v>
      </c>
      <c r="U118" s="21">
        <v>6</v>
      </c>
      <c r="V118" s="3">
        <f>397+205</f>
        <v>602</v>
      </c>
    </row>
    <row r="119" spans="1:22" ht="11.25" customHeight="1" x14ac:dyDescent="0.15">
      <c r="A119" s="43"/>
      <c r="B119" s="50"/>
      <c r="C119" s="34"/>
      <c r="D119" s="25" t="s">
        <v>3</v>
      </c>
      <c r="E119" s="13">
        <f>128+0</f>
        <v>128</v>
      </c>
      <c r="F119" s="13">
        <f>511+859</f>
        <v>1370</v>
      </c>
      <c r="G119" s="13">
        <f>153+65</f>
        <v>218</v>
      </c>
      <c r="H119" s="13">
        <f>217+206</f>
        <v>423</v>
      </c>
      <c r="I119" s="13">
        <v>0</v>
      </c>
      <c r="J119" s="13">
        <v>0</v>
      </c>
      <c r="K119" s="13">
        <f>14+2</f>
        <v>16</v>
      </c>
      <c r="L119" s="13">
        <f>421+230</f>
        <v>651</v>
      </c>
      <c r="M119" s="13">
        <f>510+302</f>
        <v>812</v>
      </c>
      <c r="N119" s="13">
        <f>104+61</f>
        <v>165</v>
      </c>
      <c r="O119" s="13">
        <f>51+51</f>
        <v>102</v>
      </c>
      <c r="P119" s="13">
        <f>9+4</f>
        <v>13</v>
      </c>
      <c r="Q119" s="13">
        <v>24</v>
      </c>
      <c r="R119" s="13">
        <f>5+0</f>
        <v>5</v>
      </c>
      <c r="S119" s="13">
        <v>0</v>
      </c>
      <c r="T119" s="13">
        <v>0</v>
      </c>
      <c r="U119" s="13">
        <v>0</v>
      </c>
      <c r="V119" s="26">
        <f>8+120</f>
        <v>128</v>
      </c>
    </row>
    <row r="120" spans="1:22" ht="11.25" customHeight="1" x14ac:dyDescent="0.15">
      <c r="A120" s="37" t="s">
        <v>2</v>
      </c>
      <c r="B120" s="39" t="s">
        <v>49</v>
      </c>
      <c r="C120" s="40" t="s">
        <v>38</v>
      </c>
      <c r="D120" s="41"/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3" t="s">
        <v>42</v>
      </c>
    </row>
    <row r="121" spans="1:22" ht="11.25" customHeight="1" x14ac:dyDescent="0.15">
      <c r="A121" s="37"/>
      <c r="B121" s="37"/>
      <c r="C121" s="42" t="s">
        <v>39</v>
      </c>
      <c r="D121" s="43"/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1">
        <v>0</v>
      </c>
      <c r="V121" s="3">
        <v>0</v>
      </c>
    </row>
    <row r="122" spans="1:22" ht="11.25" customHeight="1" x14ac:dyDescent="0.15">
      <c r="A122" s="37"/>
      <c r="B122" s="37"/>
      <c r="C122" s="33"/>
      <c r="D122" s="24" t="s">
        <v>1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1">
        <v>0</v>
      </c>
      <c r="V122" s="3">
        <v>0</v>
      </c>
    </row>
    <row r="123" spans="1:22" ht="11.25" customHeight="1" x14ac:dyDescent="0.15">
      <c r="A123" s="38"/>
      <c r="B123" s="38"/>
      <c r="C123" s="34"/>
      <c r="D123" s="31" t="s">
        <v>3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26">
        <v>0</v>
      </c>
    </row>
  </sheetData>
  <mergeCells count="127">
    <mergeCell ref="A106:A109"/>
    <mergeCell ref="B106:B109"/>
    <mergeCell ref="C106:D106"/>
    <mergeCell ref="C107:D107"/>
    <mergeCell ref="A98:A105"/>
    <mergeCell ref="B98:B101"/>
    <mergeCell ref="C98:D98"/>
    <mergeCell ref="C99:D99"/>
    <mergeCell ref="B102:B105"/>
    <mergeCell ref="C102:D102"/>
    <mergeCell ref="C103:D103"/>
    <mergeCell ref="A92:A95"/>
    <mergeCell ref="B92:B95"/>
    <mergeCell ref="C92:D92"/>
    <mergeCell ref="C93:D93"/>
    <mergeCell ref="A96:A97"/>
    <mergeCell ref="C96:D96"/>
    <mergeCell ref="C97:D97"/>
    <mergeCell ref="A84:A91"/>
    <mergeCell ref="B84:B87"/>
    <mergeCell ref="C84:D84"/>
    <mergeCell ref="C85:D85"/>
    <mergeCell ref="B88:B91"/>
    <mergeCell ref="C88:D88"/>
    <mergeCell ref="C89:D89"/>
    <mergeCell ref="A78:A81"/>
    <mergeCell ref="B78:B81"/>
    <mergeCell ref="C78:D78"/>
    <mergeCell ref="C79:D79"/>
    <mergeCell ref="A82:A83"/>
    <mergeCell ref="C82:D82"/>
    <mergeCell ref="C83:D83"/>
    <mergeCell ref="A70:A77"/>
    <mergeCell ref="B70:B73"/>
    <mergeCell ref="C70:D70"/>
    <mergeCell ref="C71:D71"/>
    <mergeCell ref="B74:B77"/>
    <mergeCell ref="C74:D74"/>
    <mergeCell ref="C75:D75"/>
    <mergeCell ref="A64:A67"/>
    <mergeCell ref="B64:B67"/>
    <mergeCell ref="C64:D64"/>
    <mergeCell ref="C65:D65"/>
    <mergeCell ref="A68:A69"/>
    <mergeCell ref="C68:D68"/>
    <mergeCell ref="C69:D69"/>
    <mergeCell ref="A56:A63"/>
    <mergeCell ref="B56:B59"/>
    <mergeCell ref="C56:D56"/>
    <mergeCell ref="C57:D57"/>
    <mergeCell ref="B60:B63"/>
    <mergeCell ref="C60:D60"/>
    <mergeCell ref="C61:D61"/>
    <mergeCell ref="A50:A53"/>
    <mergeCell ref="B50:B53"/>
    <mergeCell ref="C50:D50"/>
    <mergeCell ref="C51:D51"/>
    <mergeCell ref="A54:A55"/>
    <mergeCell ref="C54:D54"/>
    <mergeCell ref="C55:D55"/>
    <mergeCell ref="A42:A49"/>
    <mergeCell ref="B42:B45"/>
    <mergeCell ref="C42:D42"/>
    <mergeCell ref="C43:D43"/>
    <mergeCell ref="B46:B49"/>
    <mergeCell ref="C46:D46"/>
    <mergeCell ref="C47:D47"/>
    <mergeCell ref="A36:A39"/>
    <mergeCell ref="B36:B39"/>
    <mergeCell ref="C36:D36"/>
    <mergeCell ref="C37:D37"/>
    <mergeCell ref="A40:A41"/>
    <mergeCell ref="C40:D40"/>
    <mergeCell ref="C41:D41"/>
    <mergeCell ref="A26:A27"/>
    <mergeCell ref="C26:D26"/>
    <mergeCell ref="C27:D27"/>
    <mergeCell ref="A28:A35"/>
    <mergeCell ref="B28:B31"/>
    <mergeCell ref="C28:D28"/>
    <mergeCell ref="C29:D29"/>
    <mergeCell ref="B32:B35"/>
    <mergeCell ref="C32:D32"/>
    <mergeCell ref="C33:D33"/>
    <mergeCell ref="A18:A21"/>
    <mergeCell ref="B18:B21"/>
    <mergeCell ref="C18:D18"/>
    <mergeCell ref="C19:D19"/>
    <mergeCell ref="A22:A25"/>
    <mergeCell ref="B22:B25"/>
    <mergeCell ref="C22:D22"/>
    <mergeCell ref="C23:D23"/>
    <mergeCell ref="A12:A15"/>
    <mergeCell ref="B12:B15"/>
    <mergeCell ref="C12:D12"/>
    <mergeCell ref="C13:D13"/>
    <mergeCell ref="A16:A17"/>
    <mergeCell ref="C16:D16"/>
    <mergeCell ref="C17:D17"/>
    <mergeCell ref="M3:N3"/>
    <mergeCell ref="E4:E5"/>
    <mergeCell ref="F4:F5"/>
    <mergeCell ref="M4:M5"/>
    <mergeCell ref="N4:N5"/>
    <mergeCell ref="A6:A7"/>
    <mergeCell ref="C6:D6"/>
    <mergeCell ref="C7:D7"/>
    <mergeCell ref="A8:A11"/>
    <mergeCell ref="B8:B11"/>
    <mergeCell ref="C8:D8"/>
    <mergeCell ref="C9:D9"/>
    <mergeCell ref="A3:D5"/>
    <mergeCell ref="E3:F3"/>
    <mergeCell ref="A120:A123"/>
    <mergeCell ref="B120:B123"/>
    <mergeCell ref="C120:D120"/>
    <mergeCell ref="C121:D121"/>
    <mergeCell ref="A110:A111"/>
    <mergeCell ref="C110:D110"/>
    <mergeCell ref="C111:D111"/>
    <mergeCell ref="A112:A119"/>
    <mergeCell ref="B112:B115"/>
    <mergeCell ref="C112:D112"/>
    <mergeCell ref="C113:D113"/>
    <mergeCell ref="B116:B119"/>
    <mergeCell ref="C116:D116"/>
    <mergeCell ref="C117:D117"/>
  </mergeCells>
  <phoneticPr fontId="2"/>
  <pageMargins left="1.0629921259842521" right="0.78740157480314965" top="0.98425196850393704" bottom="0.98425196850393704" header="0.51181102362204722" footer="0.51181102362204722"/>
  <pageSetup paperSize="9" scale="39" orientation="landscape" r:id="rId1"/>
  <headerFooter alignWithMargins="0"/>
  <ignoredErrors>
    <ignoredError sqref="E54:V12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31-7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2022-03-17T01:40:38Z</cp:lastPrinted>
  <dcterms:created xsi:type="dcterms:W3CDTF">2015-01-15T00:09:23Z</dcterms:created>
  <dcterms:modified xsi:type="dcterms:W3CDTF">2026-03-03T03:03:03Z</dcterms:modified>
</cp:coreProperties>
</file>